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20" i="2"/>
  <c r="D20"/>
  <c r="C20"/>
  <c r="P19"/>
  <c r="N19"/>
  <c r="M19"/>
  <c r="H19"/>
  <c r="P18"/>
  <c r="O18"/>
  <c r="N18"/>
  <c r="M18"/>
  <c r="L18"/>
  <c r="I18"/>
  <c r="G18"/>
  <c r="H18" s="1"/>
  <c r="F18"/>
  <c r="E18"/>
  <c r="P17"/>
  <c r="O17"/>
  <c r="N17"/>
  <c r="M17"/>
  <c r="L17"/>
  <c r="J17"/>
  <c r="J20" s="1"/>
  <c r="I17"/>
  <c r="G17"/>
  <c r="E17"/>
  <c r="H17" s="1"/>
  <c r="P16"/>
  <c r="P20" s="1"/>
  <c r="O16"/>
  <c r="O20" s="1"/>
  <c r="N16"/>
  <c r="N20" s="1"/>
  <c r="M16"/>
  <c r="M20" s="1"/>
  <c r="L16"/>
  <c r="L20" s="1"/>
  <c r="I16"/>
  <c r="I20" s="1"/>
  <c r="G16"/>
  <c r="G20" s="1"/>
  <c r="F16"/>
  <c r="F20" s="1"/>
  <c r="E16"/>
  <c r="E20" s="1"/>
  <c r="H15"/>
  <c r="K13"/>
  <c r="D13"/>
  <c r="C13"/>
  <c r="G12"/>
  <c r="P11"/>
  <c r="N11"/>
  <c r="M11"/>
  <c r="H11"/>
  <c r="P10"/>
  <c r="O10"/>
  <c r="N10"/>
  <c r="M10"/>
  <c r="L10"/>
  <c r="I10"/>
  <c r="G10"/>
  <c r="H10" s="1"/>
  <c r="F10"/>
  <c r="E10"/>
  <c r="P9"/>
  <c r="O9"/>
  <c r="N9"/>
  <c r="M9"/>
  <c r="L9"/>
  <c r="I9"/>
  <c r="G9"/>
  <c r="H9" s="1"/>
  <c r="F9"/>
  <c r="E9"/>
  <c r="P8"/>
  <c r="O8"/>
  <c r="N8"/>
  <c r="M8"/>
  <c r="L8"/>
  <c r="J8"/>
  <c r="J13" s="1"/>
  <c r="I8"/>
  <c r="G8"/>
  <c r="H8" s="1"/>
  <c r="E8"/>
  <c r="P7"/>
  <c r="P13" s="1"/>
  <c r="O7"/>
  <c r="O13" s="1"/>
  <c r="N7"/>
  <c r="N13" s="1"/>
  <c r="M7"/>
  <c r="M13" s="1"/>
  <c r="L7"/>
  <c r="L13" s="1"/>
  <c r="I7"/>
  <c r="I13" s="1"/>
  <c r="G7"/>
  <c r="G13" s="1"/>
  <c r="F7"/>
  <c r="F13" s="1"/>
  <c r="E7"/>
  <c r="E13" s="1"/>
  <c r="H6"/>
  <c r="H13" l="1"/>
  <c r="H7"/>
  <c r="H16"/>
  <c r="H20" s="1"/>
  <c r="P16" i="1" l="1"/>
  <c r="L16"/>
  <c r="K16"/>
  <c r="F16"/>
  <c r="C16"/>
  <c r="P15"/>
  <c r="N15"/>
  <c r="N16" s="1"/>
  <c r="M15"/>
  <c r="H15"/>
  <c r="P14"/>
  <c r="O14"/>
  <c r="N14"/>
  <c r="M14"/>
  <c r="L14"/>
  <c r="I14"/>
  <c r="G14"/>
  <c r="H14" s="1"/>
  <c r="F14"/>
  <c r="E14"/>
  <c r="P13"/>
  <c r="O13"/>
  <c r="N13"/>
  <c r="M13"/>
  <c r="L13"/>
  <c r="J13"/>
  <c r="J16" s="1"/>
  <c r="J18" s="1"/>
  <c r="I13"/>
  <c r="H13"/>
  <c r="G13"/>
  <c r="E13"/>
  <c r="P12"/>
  <c r="O12"/>
  <c r="O16" s="1"/>
  <c r="N12"/>
  <c r="M12"/>
  <c r="M16" s="1"/>
  <c r="L12"/>
  <c r="I12"/>
  <c r="I16" s="1"/>
  <c r="G12"/>
  <c r="H12" s="1"/>
  <c r="F12"/>
  <c r="E12"/>
  <c r="G11"/>
  <c r="G16" s="1"/>
  <c r="F11"/>
  <c r="E11"/>
  <c r="E16" s="1"/>
  <c r="J9"/>
  <c r="C9"/>
  <c r="H8"/>
  <c r="P7"/>
  <c r="O7"/>
  <c r="N7"/>
  <c r="M7"/>
  <c r="L7"/>
  <c r="I7"/>
  <c r="I9" s="1"/>
  <c r="I18" s="1"/>
  <c r="G7"/>
  <c r="H7" s="1"/>
  <c r="F7"/>
  <c r="E7"/>
  <c r="E9" s="1"/>
  <c r="E18" s="1"/>
  <c r="P6"/>
  <c r="P9" s="1"/>
  <c r="P18" s="1"/>
  <c r="O6"/>
  <c r="O9" s="1"/>
  <c r="O18" s="1"/>
  <c r="N6"/>
  <c r="N9" s="1"/>
  <c r="N18" s="1"/>
  <c r="M6"/>
  <c r="M9" s="1"/>
  <c r="M18" s="1"/>
  <c r="L6"/>
  <c r="L9" s="1"/>
  <c r="L18" s="1"/>
  <c r="K6"/>
  <c r="K9" s="1"/>
  <c r="K18" s="1"/>
  <c r="I6"/>
  <c r="G6"/>
  <c r="F6"/>
  <c r="F9" s="1"/>
  <c r="F18" s="1"/>
  <c r="E6"/>
  <c r="H6" l="1"/>
  <c r="H9" s="1"/>
  <c r="G9"/>
  <c r="G18" s="1"/>
  <c r="H11"/>
  <c r="H16" s="1"/>
  <c r="H18" l="1"/>
</calcChain>
</file>

<file path=xl/sharedStrings.xml><?xml version="1.0" encoding="utf-8"?>
<sst xmlns="http://schemas.openxmlformats.org/spreadsheetml/2006/main" count="93" uniqueCount="50">
  <si>
    <t>Меню на "______"__________________2022г.</t>
  </si>
  <si>
    <t>Утверждаю: Директор МБОУ Первомайская СОШ Ладик Е.В._______________</t>
  </si>
  <si>
    <t>Возрастная категория: 7-10 лет.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</si>
  <si>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</si>
  <si>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</si>
  <si>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</si>
  <si>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</si>
  <si>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</si>
  <si>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</si>
  <si>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</si>
  <si>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</si>
  <si>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</si>
  <si>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</si>
  <si>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</si>
  <si>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</si>
  <si>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</si>
  <si>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</si>
  <si>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</si>
  <si>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</si>
  <si>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</si>
  <si>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</si>
  <si>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</si>
  <si>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</si>
  <si>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112/2008г</t>
  </si>
  <si>
    <t>Омлет натуральный</t>
  </si>
  <si>
    <t>Хлеб пшеничный</t>
  </si>
  <si>
    <t>261/2013г</t>
  </si>
  <si>
    <t xml:space="preserve"> Чай с сахаром</t>
  </si>
  <si>
    <t>ИТОГО ЗА ЗАВТРАК:</t>
  </si>
  <si>
    <t xml:space="preserve"> </t>
  </si>
  <si>
    <t>ОБЕД</t>
  </si>
  <si>
    <t>47/2008г</t>
  </si>
  <si>
    <t>Суп картофельный с бобовыми</t>
  </si>
  <si>
    <t>97/2008г</t>
  </si>
  <si>
    <t>Макаронные изделия отварные</t>
  </si>
  <si>
    <t>63/2008г</t>
  </si>
  <si>
    <t>Гуляш</t>
  </si>
  <si>
    <t>150/2008г</t>
  </si>
  <si>
    <t>Кисель из повидла, джема, варенья</t>
  </si>
  <si>
    <t>ИТОГО ЗА ОБЕД:</t>
  </si>
  <si>
    <t>ИТОГО ЗА ДЕНЬ:</t>
  </si>
  <si>
    <t>Шеф-повар____________________________________</t>
  </si>
  <si>
    <t>Возрастная категория: 11 лет и старше.</t>
  </si>
  <si>
    <t>ОБЕД многодетные, малообеспеченные, ОВЗ</t>
  </si>
  <si>
    <t>Хлеб ржано-пшеничный</t>
  </si>
  <si>
    <t>Конфета</t>
  </si>
  <si>
    <t>ИТОГО ЗА обед:</t>
  </si>
  <si>
    <t>ОБЕД платники</t>
  </si>
  <si>
    <t xml:space="preserve">        Шеф-повар_____________________________</t>
  </si>
  <si>
    <t>День: вторник (1 неделя)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</si>
</sst>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Border="1"/>
    <xf numFmtId="0" fontId="0" fillId="0" borderId="0" xfId="0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2" fontId="4" fillId="0" borderId="7" xfId="0" applyNumberFormat="1" applyFont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4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workbookViewId="0">
      <selection activeCell="C3" sqref="C3:C4"/>
    </sheetView>
  </sheetViews>
  <sheetFormatPr defaultRowHeight="15"/>
  <cols>
    <col min="1" max="1" width="9.85546875" customWidth="1"/>
    <col min="2" max="2" width="27.140625" customWidth="1"/>
    <col min="3" max="4" width="8" customWidth="1"/>
    <col min="5" max="5" width="7.7109375" customWidth="1"/>
    <col min="6" max="6" width="7" customWidth="1"/>
    <col min="8" max="8" width="9.140625" customWidth="1"/>
    <col min="9" max="10" width="5.7109375" customWidth="1"/>
    <col min="11" max="11" width="5.85546875" customWidth="1"/>
    <col min="12" max="12" width="6" customWidth="1"/>
    <col min="13" max="13" width="6.42578125" customWidth="1"/>
    <col min="14" max="15" width="7" customWidth="1"/>
    <col min="16" max="16" width="6.42578125" customWidth="1"/>
    <col min="18" max="18" width="7.140625" customWidth="1"/>
    <col min="19" max="29" width="9.140625" hidden="1" customWidth="1"/>
  </cols>
  <sheetData>
    <row r="1" spans="1:32" ht="41.25" customHeight="1">
      <c r="A1" s="1" t="s">
        <v>0</v>
      </c>
      <c r="B1" s="2"/>
      <c r="C1" s="2"/>
      <c r="D1" s="2"/>
      <c r="E1" s="1" t="s">
        <v>1</v>
      </c>
      <c r="H1" s="3"/>
      <c r="I1" s="4"/>
      <c r="J1" s="4"/>
      <c r="K1" s="4"/>
      <c r="L1" s="2"/>
      <c r="M1" s="3"/>
      <c r="N1" s="3"/>
      <c r="O1" s="3"/>
      <c r="P1" s="3"/>
      <c r="Q1" s="3"/>
    </row>
    <row r="2" spans="1:32" ht="15.75">
      <c r="A2" s="5" t="s">
        <v>2</v>
      </c>
      <c r="B2" s="5"/>
      <c r="C2" s="59" t="s">
        <v>49</v>
      </c>
      <c r="D2" s="59"/>
      <c r="E2" s="59"/>
      <c r="F2" s="59"/>
      <c r="G2" s="59"/>
      <c r="H2" s="59"/>
      <c r="I2" s="6"/>
      <c r="J2" s="6"/>
      <c r="K2" s="60"/>
      <c r="L2" s="60"/>
      <c r="M2" s="60"/>
      <c r="N2" s="60"/>
      <c r="O2" s="60"/>
      <c r="P2" s="60"/>
    </row>
    <row r="3" spans="1:32" ht="15" customHeight="1">
      <c r="A3" s="61" t="s">
        <v>3</v>
      </c>
      <c r="B3" s="61" t="s">
        <v>4</v>
      </c>
      <c r="C3" s="63" t="s">
        <v>5</v>
      </c>
      <c r="D3" s="7"/>
      <c r="E3" s="65" t="s">
        <v>6</v>
      </c>
      <c r="F3" s="66"/>
      <c r="G3" s="67"/>
      <c r="H3" s="63" t="s">
        <v>7</v>
      </c>
      <c r="I3" s="65" t="s">
        <v>8</v>
      </c>
      <c r="J3" s="66"/>
      <c r="K3" s="66"/>
      <c r="L3" s="67"/>
      <c r="M3" s="65" t="s">
        <v>9</v>
      </c>
      <c r="N3" s="66"/>
      <c r="O3" s="66"/>
      <c r="P3" s="67"/>
    </row>
    <row r="4" spans="1:32">
      <c r="A4" s="62"/>
      <c r="B4" s="62"/>
      <c r="C4" s="64"/>
      <c r="D4" s="8" t="s">
        <v>10</v>
      </c>
      <c r="E4" s="9" t="s">
        <v>11</v>
      </c>
      <c r="F4" s="9" t="s">
        <v>12</v>
      </c>
      <c r="G4" s="9" t="s">
        <v>13</v>
      </c>
      <c r="H4" s="64"/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9" t="s">
        <v>21</v>
      </c>
    </row>
    <row r="5" spans="1:32">
      <c r="A5" s="10"/>
      <c r="B5" s="11"/>
      <c r="C5" s="11"/>
      <c r="D5" s="11"/>
      <c r="E5" s="11"/>
      <c r="F5" s="11"/>
      <c r="G5" s="12" t="s">
        <v>22</v>
      </c>
      <c r="H5" s="11"/>
      <c r="I5" s="11"/>
      <c r="J5" s="11"/>
      <c r="K5" s="11"/>
      <c r="L5" s="11"/>
      <c r="M5" s="11"/>
      <c r="N5" s="11"/>
      <c r="O5" s="11"/>
      <c r="P5" s="13"/>
      <c r="Q5" s="14"/>
      <c r="R5" s="14"/>
      <c r="S5" s="15"/>
    </row>
    <row r="6" spans="1:32">
      <c r="A6" s="33" t="s">
        <v>23</v>
      </c>
      <c r="B6" s="34" t="s">
        <v>24</v>
      </c>
      <c r="C6" s="33">
        <v>150</v>
      </c>
      <c r="D6" s="33">
        <v>25.43</v>
      </c>
      <c r="E6" s="35">
        <f>C6*10/100</f>
        <v>15</v>
      </c>
      <c r="F6" s="35">
        <f>C6*16.7/100</f>
        <v>25.05</v>
      </c>
      <c r="G6" s="35">
        <f>C6*1.9/100</f>
        <v>2.85</v>
      </c>
      <c r="H6" s="35">
        <f>G6*4+F6*9+E6*4</f>
        <v>296.85000000000002</v>
      </c>
      <c r="I6" s="36">
        <f>C6*0.05/100</f>
        <v>7.4999999999999997E-2</v>
      </c>
      <c r="J6" s="37">
        <v>0</v>
      </c>
      <c r="K6" s="36">
        <f>C6*0.21/100</f>
        <v>0.315</v>
      </c>
      <c r="L6" s="38">
        <f>C6*0.47/100</f>
        <v>0.70499999999999996</v>
      </c>
      <c r="M6" s="36">
        <f>C6*54/100</f>
        <v>81</v>
      </c>
      <c r="N6" s="36">
        <f>C6*193/100</f>
        <v>289.5</v>
      </c>
      <c r="O6" s="36">
        <f>C6*11/100</f>
        <v>16.5</v>
      </c>
      <c r="P6" s="36">
        <f>C6*2.1/100</f>
        <v>3.15</v>
      </c>
      <c r="Q6" s="21"/>
      <c r="R6" s="14"/>
      <c r="S6" s="15"/>
    </row>
    <row r="7" spans="1:32" s="15" customFormat="1">
      <c r="A7" s="40"/>
      <c r="B7" s="41" t="s">
        <v>25</v>
      </c>
      <c r="C7" s="42">
        <v>50</v>
      </c>
      <c r="D7" s="42">
        <v>2.6</v>
      </c>
      <c r="E7" s="42">
        <f>C7*7.7/100</f>
        <v>3.85</v>
      </c>
      <c r="F7" s="43">
        <f>C7*0.8/100</f>
        <v>0.4</v>
      </c>
      <c r="G7" s="42">
        <f>C7*49.5/100</f>
        <v>24.75</v>
      </c>
      <c r="H7" s="43">
        <f t="shared" ref="H7" si="0">G7*4+F7*9+E7*4</f>
        <v>118</v>
      </c>
      <c r="I7" s="43">
        <f>C7*0.11/100</f>
        <v>5.5E-2</v>
      </c>
      <c r="J7" s="44">
        <v>0</v>
      </c>
      <c r="K7" s="44">
        <v>0</v>
      </c>
      <c r="L7" s="42">
        <f>C7*1.1/100</f>
        <v>0.55000000000000004</v>
      </c>
      <c r="M7" s="43">
        <f>C7*20/100</f>
        <v>10</v>
      </c>
      <c r="N7" s="43">
        <f>C7*65/100</f>
        <v>32.5</v>
      </c>
      <c r="O7" s="43">
        <f>C7*14/100</f>
        <v>7</v>
      </c>
      <c r="P7" s="42">
        <f>C7*1.1/100</f>
        <v>0.55000000000000004</v>
      </c>
      <c r="Q7" s="21"/>
      <c r="R7" s="14"/>
    </row>
    <row r="8" spans="1:32">
      <c r="A8" s="24" t="s">
        <v>26</v>
      </c>
      <c r="B8" s="25" t="s">
        <v>27</v>
      </c>
      <c r="C8" s="24">
        <v>200</v>
      </c>
      <c r="D8" s="24">
        <v>1.39</v>
      </c>
      <c r="E8" s="26">
        <v>0.2</v>
      </c>
      <c r="F8" s="27">
        <v>0</v>
      </c>
      <c r="G8" s="26">
        <v>14</v>
      </c>
      <c r="H8" s="26">
        <f>G8*4+F8*9+E8*4</f>
        <v>56.8</v>
      </c>
      <c r="I8" s="27">
        <v>0</v>
      </c>
      <c r="J8" s="27">
        <v>0</v>
      </c>
      <c r="K8" s="27">
        <v>0</v>
      </c>
      <c r="L8" s="27">
        <v>0</v>
      </c>
      <c r="M8" s="26">
        <v>12</v>
      </c>
      <c r="N8" s="26">
        <v>4</v>
      </c>
      <c r="O8" s="26">
        <v>6</v>
      </c>
      <c r="P8" s="26">
        <v>0.8</v>
      </c>
      <c r="Q8" s="21"/>
      <c r="R8" s="14"/>
      <c r="S8" s="15"/>
    </row>
    <row r="9" spans="1:32">
      <c r="A9" s="53" t="s">
        <v>28</v>
      </c>
      <c r="B9" s="54"/>
      <c r="C9" s="28">
        <f t="shared" ref="C9:P9" si="1">SUM(C6:C8)</f>
        <v>400</v>
      </c>
      <c r="D9" s="28"/>
      <c r="E9" s="28">
        <f t="shared" si="1"/>
        <v>19.05</v>
      </c>
      <c r="F9" s="28">
        <f t="shared" si="1"/>
        <v>25.45</v>
      </c>
      <c r="G9" s="29">
        <f t="shared" si="1"/>
        <v>41.6</v>
      </c>
      <c r="H9" s="29">
        <f t="shared" si="1"/>
        <v>471.65000000000003</v>
      </c>
      <c r="I9" s="29">
        <f t="shared" si="1"/>
        <v>0.13</v>
      </c>
      <c r="J9" s="30">
        <f t="shared" si="1"/>
        <v>0</v>
      </c>
      <c r="K9" s="28">
        <f t="shared" si="1"/>
        <v>0.315</v>
      </c>
      <c r="L9" s="29">
        <f t="shared" si="1"/>
        <v>1.2549999999999999</v>
      </c>
      <c r="M9" s="29">
        <f t="shared" si="1"/>
        <v>103</v>
      </c>
      <c r="N9" s="29">
        <f t="shared" si="1"/>
        <v>326</v>
      </c>
      <c r="O9" s="29">
        <f t="shared" si="1"/>
        <v>29.5</v>
      </c>
      <c r="P9" s="28">
        <f t="shared" si="1"/>
        <v>4.5</v>
      </c>
      <c r="Q9" s="21"/>
      <c r="R9" s="14" t="s">
        <v>29</v>
      </c>
      <c r="S9" s="15"/>
    </row>
    <row r="10" spans="1:32">
      <c r="A10" s="53" t="s">
        <v>30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4"/>
      <c r="Q10" s="21"/>
      <c r="R10" s="14"/>
      <c r="S10" s="15"/>
    </row>
    <row r="11" spans="1:32">
      <c r="A11" s="16" t="s">
        <v>31</v>
      </c>
      <c r="B11" s="22" t="s">
        <v>32</v>
      </c>
      <c r="C11" s="16">
        <v>200</v>
      </c>
      <c r="D11" s="16">
        <v>4.3</v>
      </c>
      <c r="E11" s="18">
        <f>6.2/250*C11</f>
        <v>4.96</v>
      </c>
      <c r="F11" s="18">
        <f>5.6/250*C11</f>
        <v>4.4799999999999995</v>
      </c>
      <c r="G11" s="18">
        <f>22.3/250*C11</f>
        <v>17.84</v>
      </c>
      <c r="H11" s="18">
        <f>G11*4+F11*9+E11*4</f>
        <v>131.51999999999998</v>
      </c>
      <c r="I11" s="16">
        <v>0.13</v>
      </c>
      <c r="J11" s="18">
        <v>4.5999999999999996</v>
      </c>
      <c r="K11" s="16">
        <v>0.01</v>
      </c>
      <c r="L11" s="23">
        <v>0</v>
      </c>
      <c r="M11" s="18">
        <v>58.24</v>
      </c>
      <c r="N11" s="18">
        <v>119.71</v>
      </c>
      <c r="O11" s="18">
        <v>33.619999999999997</v>
      </c>
      <c r="P11" s="16">
        <v>1.71</v>
      </c>
      <c r="Q11" s="21"/>
      <c r="R11" s="14"/>
      <c r="S11" s="15"/>
    </row>
    <row r="12" spans="1:32" ht="13.5" customHeight="1">
      <c r="A12" s="16" t="s">
        <v>33</v>
      </c>
      <c r="B12" s="17" t="s">
        <v>34</v>
      </c>
      <c r="C12" s="16">
        <v>180</v>
      </c>
      <c r="D12" s="16">
        <v>3.65</v>
      </c>
      <c r="E12" s="18">
        <f>C12*3.5/100</f>
        <v>6.3</v>
      </c>
      <c r="F12" s="16">
        <f>C12*4.1/100</f>
        <v>7.379999999999999</v>
      </c>
      <c r="G12" s="18">
        <f>C12*23.5/100</f>
        <v>42.3</v>
      </c>
      <c r="H12" s="18">
        <f t="shared" ref="H12:H15" si="2">G12*4+F12*9+E12*4</f>
        <v>260.82</v>
      </c>
      <c r="I12" s="16">
        <f>C12*0.04/100</f>
        <v>7.2000000000000008E-2</v>
      </c>
      <c r="J12" s="23">
        <v>0</v>
      </c>
      <c r="K12" s="23">
        <v>0</v>
      </c>
      <c r="L12" s="18">
        <f>C12*1.5/100</f>
        <v>2.7</v>
      </c>
      <c r="M12" s="18">
        <f>C12*24/100</f>
        <v>43.2</v>
      </c>
      <c r="N12" s="18">
        <f>C12*106/100</f>
        <v>190.8</v>
      </c>
      <c r="O12" s="18">
        <f>C12*17/100</f>
        <v>30.6</v>
      </c>
      <c r="P12" s="16">
        <f>C12*2.1/100</f>
        <v>3.78</v>
      </c>
      <c r="Q12" s="21"/>
      <c r="R12" s="52"/>
      <c r="S12" s="52"/>
      <c r="T12" s="51"/>
      <c r="U12" s="52"/>
      <c r="V12" s="52"/>
      <c r="W12" s="52"/>
      <c r="X12" s="51"/>
      <c r="Y12" s="52"/>
      <c r="Z12" s="52"/>
      <c r="AA12" s="52"/>
      <c r="AB12" s="52"/>
      <c r="AC12" s="52"/>
      <c r="AD12" s="52"/>
      <c r="AE12" s="52"/>
      <c r="AF12" s="52"/>
    </row>
    <row r="13" spans="1:32">
      <c r="A13" s="16" t="s">
        <v>35</v>
      </c>
      <c r="B13" s="22" t="s">
        <v>36</v>
      </c>
      <c r="C13" s="16">
        <v>40</v>
      </c>
      <c r="D13" s="16">
        <v>40.1</v>
      </c>
      <c r="E13" s="18">
        <f>C13*13.9/100</f>
        <v>5.56</v>
      </c>
      <c r="F13" s="18">
        <v>11.5</v>
      </c>
      <c r="G13" s="18">
        <f>C13*4/100</f>
        <v>1.6</v>
      </c>
      <c r="H13" s="18">
        <f t="shared" si="2"/>
        <v>132.14000000000001</v>
      </c>
      <c r="I13" s="19">
        <f>C13*0.12/100</f>
        <v>4.8000000000000001E-2</v>
      </c>
      <c r="J13" s="19">
        <f>C13*0.9/100</f>
        <v>0.36</v>
      </c>
      <c r="K13" s="20">
        <v>0</v>
      </c>
      <c r="L13" s="19">
        <f>C13*0.6/100</f>
        <v>0.24</v>
      </c>
      <c r="M13" s="19">
        <f>C13*17/100</f>
        <v>6.8</v>
      </c>
      <c r="N13" s="19">
        <f>C13*146/100</f>
        <v>58.4</v>
      </c>
      <c r="O13" s="19">
        <f>C13*22/100</f>
        <v>8.8000000000000007</v>
      </c>
      <c r="P13" s="19">
        <f>C13*1.6/100</f>
        <v>0.64</v>
      </c>
      <c r="Q13" s="21"/>
      <c r="R13" s="52"/>
      <c r="S13" s="52"/>
      <c r="T13" s="51"/>
      <c r="U13" s="31"/>
      <c r="V13" s="31"/>
      <c r="W13" s="31"/>
      <c r="X13" s="51"/>
      <c r="Y13" s="31"/>
      <c r="Z13" s="31"/>
      <c r="AA13" s="31"/>
      <c r="AB13" s="31"/>
      <c r="AC13" s="31"/>
      <c r="AD13" s="31"/>
      <c r="AE13" s="31"/>
      <c r="AF13" s="31"/>
    </row>
    <row r="14" spans="1:32">
      <c r="A14" s="16"/>
      <c r="B14" s="22" t="s">
        <v>25</v>
      </c>
      <c r="C14" s="16">
        <v>60</v>
      </c>
      <c r="D14" s="16">
        <v>3.11</v>
      </c>
      <c r="E14" s="16">
        <f>C14*7.7/100</f>
        <v>4.62</v>
      </c>
      <c r="F14" s="18">
        <f>C14*0.8/100</f>
        <v>0.48</v>
      </c>
      <c r="G14" s="16">
        <f>C14*49.5/100</f>
        <v>29.7</v>
      </c>
      <c r="H14" s="18">
        <f t="shared" si="2"/>
        <v>141.6</v>
      </c>
      <c r="I14" s="16">
        <f>C14*0.11/100</f>
        <v>6.6000000000000003E-2</v>
      </c>
      <c r="J14" s="23">
        <v>0</v>
      </c>
      <c r="K14" s="23">
        <v>0</v>
      </c>
      <c r="L14" s="16">
        <f>C14*1.1/100</f>
        <v>0.66</v>
      </c>
      <c r="M14" s="18">
        <f>C14*20/100</f>
        <v>12</v>
      </c>
      <c r="N14" s="18">
        <f>C14*65/100</f>
        <v>39</v>
      </c>
      <c r="O14" s="18">
        <f>C14*49/100</f>
        <v>29.4</v>
      </c>
      <c r="P14" s="16">
        <f>C14*1.1/100</f>
        <v>0.66</v>
      </c>
      <c r="Q14" s="21"/>
      <c r="R14" s="14"/>
      <c r="S14" s="15"/>
    </row>
    <row r="15" spans="1:32" ht="25.5">
      <c r="A15" s="16" t="s">
        <v>37</v>
      </c>
      <c r="B15" s="17" t="s">
        <v>38</v>
      </c>
      <c r="C15" s="16">
        <v>200</v>
      </c>
      <c r="D15" s="16">
        <v>2.5</v>
      </c>
      <c r="E15" s="23">
        <v>0</v>
      </c>
      <c r="F15" s="23">
        <v>0</v>
      </c>
      <c r="G15" s="18">
        <v>38.4</v>
      </c>
      <c r="H15" s="18">
        <f t="shared" si="2"/>
        <v>153.6</v>
      </c>
      <c r="I15" s="23">
        <v>0</v>
      </c>
      <c r="J15" s="23">
        <v>0</v>
      </c>
      <c r="K15" s="23">
        <v>0</v>
      </c>
      <c r="L15" s="23">
        <v>0</v>
      </c>
      <c r="M15" s="18">
        <f>C15*4.65/100</f>
        <v>9.3000000000000007</v>
      </c>
      <c r="N15" s="18">
        <f>C15*4.42/100</f>
        <v>8.84</v>
      </c>
      <c r="O15" s="23">
        <v>0</v>
      </c>
      <c r="P15" s="16">
        <f>C15*0.03/100</f>
        <v>0.06</v>
      </c>
      <c r="Q15" s="21"/>
      <c r="R15" s="14"/>
      <c r="S15" s="15"/>
    </row>
    <row r="16" spans="1:32">
      <c r="A16" s="53" t="s">
        <v>39</v>
      </c>
      <c r="B16" s="54"/>
      <c r="C16" s="28">
        <f t="shared" ref="C16:P16" si="3">SUM(C11:C15)</f>
        <v>680</v>
      </c>
      <c r="D16" s="28"/>
      <c r="E16" s="28">
        <f t="shared" si="3"/>
        <v>21.44</v>
      </c>
      <c r="F16" s="28">
        <f t="shared" si="3"/>
        <v>23.84</v>
      </c>
      <c r="G16" s="28">
        <f t="shared" si="3"/>
        <v>129.84</v>
      </c>
      <c r="H16" s="28">
        <f t="shared" si="3"/>
        <v>819.68000000000006</v>
      </c>
      <c r="I16" s="29">
        <f t="shared" si="3"/>
        <v>0.316</v>
      </c>
      <c r="J16" s="29">
        <f t="shared" si="3"/>
        <v>4.96</v>
      </c>
      <c r="K16" s="29">
        <f t="shared" si="3"/>
        <v>0.01</v>
      </c>
      <c r="L16" s="29">
        <f t="shared" si="3"/>
        <v>3.6000000000000005</v>
      </c>
      <c r="M16" s="29">
        <f t="shared" si="3"/>
        <v>129.54</v>
      </c>
      <c r="N16" s="29">
        <f t="shared" si="3"/>
        <v>416.74999999999994</v>
      </c>
      <c r="O16" s="29">
        <f t="shared" si="3"/>
        <v>102.41999999999999</v>
      </c>
      <c r="P16" s="29">
        <f t="shared" si="3"/>
        <v>6.85</v>
      </c>
      <c r="Q16" s="21"/>
      <c r="R16" s="14"/>
      <c r="S16" s="15"/>
    </row>
    <row r="17" spans="1:19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21"/>
      <c r="R17" s="14"/>
      <c r="S17" s="15"/>
    </row>
    <row r="18" spans="1:19">
      <c r="A18" s="53" t="s">
        <v>40</v>
      </c>
      <c r="B18" s="54"/>
      <c r="C18" s="16"/>
      <c r="D18" s="28">
        <v>83.08</v>
      </c>
      <c r="E18" s="29">
        <f t="shared" ref="E18:P18" si="4">E9+E16</f>
        <v>40.49</v>
      </c>
      <c r="F18" s="29">
        <f t="shared" si="4"/>
        <v>49.29</v>
      </c>
      <c r="G18" s="29">
        <f t="shared" si="4"/>
        <v>171.44</v>
      </c>
      <c r="H18" s="29">
        <f t="shared" si="4"/>
        <v>1291.3300000000002</v>
      </c>
      <c r="I18" s="29">
        <f t="shared" si="4"/>
        <v>0.44600000000000001</v>
      </c>
      <c r="J18" s="29">
        <f t="shared" si="4"/>
        <v>4.96</v>
      </c>
      <c r="K18" s="29">
        <f t="shared" si="4"/>
        <v>0.32500000000000001</v>
      </c>
      <c r="L18" s="29">
        <f t="shared" si="4"/>
        <v>4.8550000000000004</v>
      </c>
      <c r="M18" s="29">
        <f t="shared" si="4"/>
        <v>232.54</v>
      </c>
      <c r="N18" s="29">
        <f t="shared" si="4"/>
        <v>742.75</v>
      </c>
      <c r="O18" s="29">
        <f t="shared" si="4"/>
        <v>131.91999999999999</v>
      </c>
      <c r="P18" s="28">
        <f t="shared" si="4"/>
        <v>11.35</v>
      </c>
      <c r="Q18" s="21"/>
      <c r="R18" s="14"/>
      <c r="S18" s="15"/>
    </row>
    <row r="20" spans="1:19">
      <c r="C20" s="21"/>
      <c r="D20" s="21" t="s">
        <v>41</v>
      </c>
      <c r="E20" s="32"/>
      <c r="F20" s="21"/>
    </row>
  </sheetData>
  <mergeCells count="21">
    <mergeCell ref="C2:H2"/>
    <mergeCell ref="K2:P2"/>
    <mergeCell ref="A3:A4"/>
    <mergeCell ref="B3:B4"/>
    <mergeCell ref="C3:C4"/>
    <mergeCell ref="E3:G3"/>
    <mergeCell ref="H3:H4"/>
    <mergeCell ref="I3:L3"/>
    <mergeCell ref="M3:P3"/>
    <mergeCell ref="A18:B18"/>
    <mergeCell ref="A9:B9"/>
    <mergeCell ref="A10:P10"/>
    <mergeCell ref="R12:R13"/>
    <mergeCell ref="S12:S13"/>
    <mergeCell ref="X12:X13"/>
    <mergeCell ref="Y12:AB12"/>
    <mergeCell ref="AC12:AF12"/>
    <mergeCell ref="A16:B16"/>
    <mergeCell ref="A17:P17"/>
    <mergeCell ref="T12:T13"/>
    <mergeCell ref="U12:W12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22"/>
  <sheetViews>
    <sheetView workbookViewId="0">
      <selection activeCell="C13" sqref="C13"/>
    </sheetView>
  </sheetViews>
  <sheetFormatPr defaultRowHeight="15"/>
  <cols>
    <col min="1" max="1" width="9.85546875" customWidth="1"/>
    <col min="2" max="2" width="27.140625" customWidth="1"/>
    <col min="3" max="4" width="8" customWidth="1"/>
    <col min="5" max="5" width="7.7109375" customWidth="1"/>
    <col min="6" max="6" width="7" customWidth="1"/>
    <col min="8" max="8" width="8.7109375" customWidth="1"/>
    <col min="9" max="9" width="6.42578125" customWidth="1"/>
    <col min="10" max="10" width="5.42578125" customWidth="1"/>
    <col min="11" max="11" width="5.85546875" customWidth="1"/>
    <col min="12" max="12" width="6" customWidth="1"/>
    <col min="13" max="13" width="6.42578125" customWidth="1"/>
    <col min="14" max="14" width="8.5703125" customWidth="1"/>
    <col min="15" max="15" width="7" customWidth="1"/>
    <col min="16" max="16" width="5.5703125" customWidth="1"/>
  </cols>
  <sheetData>
    <row r="1" spans="1:33" ht="48" customHeight="1">
      <c r="A1" s="1" t="s">
        <v>0</v>
      </c>
      <c r="B1" s="2"/>
      <c r="C1" s="2"/>
      <c r="D1" s="2"/>
      <c r="E1" s="1" t="s">
        <v>1</v>
      </c>
      <c r="G1" s="3"/>
      <c r="I1" s="3"/>
      <c r="J1" s="4"/>
      <c r="K1" s="4"/>
      <c r="L1" s="4"/>
      <c r="M1" s="2"/>
      <c r="N1" s="3"/>
      <c r="O1" s="3"/>
      <c r="P1" s="3"/>
      <c r="Q1" s="3"/>
    </row>
    <row r="2" spans="1:33" ht="15.75">
      <c r="A2" s="5" t="s">
        <v>42</v>
      </c>
      <c r="B2" s="5"/>
      <c r="C2" s="45"/>
      <c r="D2" s="45"/>
      <c r="E2" s="59" t="s">
        <v>49</v>
      </c>
      <c r="F2" s="59"/>
      <c r="G2" s="59"/>
      <c r="H2" s="59"/>
      <c r="I2" s="59"/>
      <c r="J2" s="46"/>
      <c r="K2" s="72"/>
      <c r="L2" s="72"/>
      <c r="M2" s="72"/>
      <c r="N2" s="72"/>
      <c r="O2" s="72"/>
      <c r="P2" s="72"/>
    </row>
    <row r="3" spans="1:33" ht="15" customHeight="1">
      <c r="A3" s="73" t="s">
        <v>3</v>
      </c>
      <c r="B3" s="73" t="s">
        <v>4</v>
      </c>
      <c r="C3" s="75" t="s">
        <v>5</v>
      </c>
      <c r="D3" s="47"/>
      <c r="E3" s="53" t="s">
        <v>6</v>
      </c>
      <c r="F3" s="58"/>
      <c r="G3" s="54"/>
      <c r="H3" s="63" t="s">
        <v>7</v>
      </c>
      <c r="I3" s="53" t="s">
        <v>8</v>
      </c>
      <c r="J3" s="58"/>
      <c r="K3" s="58"/>
      <c r="L3" s="54"/>
      <c r="M3" s="53" t="s">
        <v>9</v>
      </c>
      <c r="N3" s="58"/>
      <c r="O3" s="58"/>
      <c r="P3" s="54"/>
    </row>
    <row r="4" spans="1:33">
      <c r="A4" s="74"/>
      <c r="B4" s="74"/>
      <c r="C4" s="76"/>
      <c r="D4" s="48" t="s">
        <v>10</v>
      </c>
      <c r="E4" s="28" t="s">
        <v>11</v>
      </c>
      <c r="F4" s="28" t="s">
        <v>12</v>
      </c>
      <c r="G4" s="28" t="s">
        <v>13</v>
      </c>
      <c r="H4" s="64"/>
      <c r="I4" s="28" t="s">
        <v>14</v>
      </c>
      <c r="J4" s="28" t="s">
        <v>15</v>
      </c>
      <c r="K4" s="28" t="s">
        <v>16</v>
      </c>
      <c r="L4" s="28" t="s">
        <v>17</v>
      </c>
      <c r="M4" s="28" t="s">
        <v>18</v>
      </c>
      <c r="N4" s="28" t="s">
        <v>19</v>
      </c>
      <c r="O4" s="28" t="s">
        <v>20</v>
      </c>
      <c r="P4" s="28" t="s">
        <v>21</v>
      </c>
    </row>
    <row r="5" spans="1:33">
      <c r="A5" s="10"/>
      <c r="B5" s="11"/>
      <c r="C5" s="11"/>
      <c r="D5" s="11"/>
      <c r="E5" s="11"/>
      <c r="F5" s="11"/>
      <c r="G5" s="12" t="s">
        <v>43</v>
      </c>
      <c r="H5" s="11"/>
      <c r="I5" s="11"/>
      <c r="J5" s="11"/>
      <c r="K5" s="11"/>
      <c r="L5" s="11"/>
      <c r="M5" s="11"/>
      <c r="N5" s="11"/>
      <c r="O5" s="11"/>
      <c r="P5" s="13"/>
      <c r="Q5" s="14"/>
      <c r="R5" s="14"/>
      <c r="S5" s="14"/>
      <c r="T5" s="15"/>
    </row>
    <row r="6" spans="1:33">
      <c r="A6" s="16" t="s">
        <v>31</v>
      </c>
      <c r="B6" s="22" t="s">
        <v>32</v>
      </c>
      <c r="C6" s="16">
        <v>250</v>
      </c>
      <c r="D6" s="16">
        <v>5.38</v>
      </c>
      <c r="E6" s="18">
        <v>6.2</v>
      </c>
      <c r="F6" s="18">
        <v>5.6</v>
      </c>
      <c r="G6" s="18">
        <v>22.3</v>
      </c>
      <c r="H6" s="18">
        <f t="shared" ref="H6:H11" si="0">G6*4+F6*9+E6*4</f>
        <v>164.4</v>
      </c>
      <c r="I6" s="16">
        <v>0.13</v>
      </c>
      <c r="J6" s="18">
        <v>4.5999999999999996</v>
      </c>
      <c r="K6" s="16">
        <v>0.01</v>
      </c>
      <c r="L6" s="23">
        <v>0</v>
      </c>
      <c r="M6" s="18">
        <v>58.24</v>
      </c>
      <c r="N6" s="18">
        <v>119.71</v>
      </c>
      <c r="O6" s="18">
        <v>33.619999999999997</v>
      </c>
      <c r="P6" s="16">
        <v>1.71</v>
      </c>
      <c r="Q6" s="21"/>
      <c r="R6" s="21"/>
      <c r="S6" s="14"/>
      <c r="T6" s="15"/>
    </row>
    <row r="7" spans="1:33">
      <c r="A7" s="16" t="s">
        <v>33</v>
      </c>
      <c r="B7" s="17" t="s">
        <v>34</v>
      </c>
      <c r="C7" s="16">
        <v>200</v>
      </c>
      <c r="D7" s="16">
        <v>4.0599999999999996</v>
      </c>
      <c r="E7" s="18">
        <f>C7*3.5/100</f>
        <v>7</v>
      </c>
      <c r="F7" s="18">
        <f>C7*4.1/100</f>
        <v>8.1999999999999993</v>
      </c>
      <c r="G7" s="18">
        <f>C7*23.5/100</f>
        <v>47</v>
      </c>
      <c r="H7" s="18">
        <f t="shared" si="0"/>
        <v>289.8</v>
      </c>
      <c r="I7" s="16">
        <f>C7*0.04/100</f>
        <v>0.08</v>
      </c>
      <c r="J7" s="23">
        <v>0</v>
      </c>
      <c r="K7" s="23">
        <v>0</v>
      </c>
      <c r="L7" s="18">
        <f>C7*1.5/100</f>
        <v>3</v>
      </c>
      <c r="M7" s="18">
        <f>C7*24/100</f>
        <v>48</v>
      </c>
      <c r="N7" s="18">
        <f>C7*106/100</f>
        <v>212</v>
      </c>
      <c r="O7" s="18">
        <f>C7*17/100</f>
        <v>34</v>
      </c>
      <c r="P7" s="18">
        <f>C7*2.1/100</f>
        <v>4.2</v>
      </c>
      <c r="Q7" s="21"/>
      <c r="R7" s="21"/>
      <c r="S7" s="52"/>
      <c r="T7" s="52"/>
      <c r="U7" s="51"/>
      <c r="V7" s="52"/>
      <c r="W7" s="52"/>
      <c r="X7" s="52"/>
      <c r="Y7" s="51"/>
      <c r="Z7" s="52"/>
      <c r="AA7" s="52"/>
      <c r="AB7" s="52"/>
      <c r="AC7" s="52"/>
      <c r="AD7" s="52"/>
      <c r="AE7" s="52"/>
      <c r="AF7" s="52"/>
      <c r="AG7" s="52"/>
    </row>
    <row r="8" spans="1:33">
      <c r="A8" s="16" t="s">
        <v>35</v>
      </c>
      <c r="B8" s="22" t="s">
        <v>36</v>
      </c>
      <c r="C8" s="16">
        <v>40</v>
      </c>
      <c r="D8" s="16">
        <v>40.1</v>
      </c>
      <c r="E8" s="18">
        <f>C8*13.9/100</f>
        <v>5.56</v>
      </c>
      <c r="F8" s="18">
        <v>11.5</v>
      </c>
      <c r="G8" s="18">
        <f>C8*4/100</f>
        <v>1.6</v>
      </c>
      <c r="H8" s="18">
        <f t="shared" si="0"/>
        <v>132.14000000000001</v>
      </c>
      <c r="I8" s="19">
        <f>C8*0.12/100</f>
        <v>4.8000000000000001E-2</v>
      </c>
      <c r="J8" s="19">
        <f>C8*0.9/100</f>
        <v>0.36</v>
      </c>
      <c r="K8" s="20">
        <v>0</v>
      </c>
      <c r="L8" s="19">
        <f>C8*0.6/100</f>
        <v>0.24</v>
      </c>
      <c r="M8" s="19">
        <f>C8*17/100</f>
        <v>6.8</v>
      </c>
      <c r="N8" s="19">
        <f>C8*146/100</f>
        <v>58.4</v>
      </c>
      <c r="O8" s="19">
        <f>C8*22/100</f>
        <v>8.8000000000000007</v>
      </c>
      <c r="P8" s="19">
        <f>C8*1.6/100</f>
        <v>0.64</v>
      </c>
      <c r="Q8" s="21"/>
      <c r="R8" s="21"/>
      <c r="S8" s="52"/>
      <c r="T8" s="52"/>
      <c r="U8" s="51"/>
      <c r="V8" s="31"/>
      <c r="W8" s="31"/>
      <c r="X8" s="31"/>
      <c r="Y8" s="51"/>
      <c r="Z8" s="31"/>
      <c r="AA8" s="31"/>
      <c r="AB8" s="31"/>
      <c r="AC8" s="31"/>
      <c r="AD8" s="31"/>
      <c r="AE8" s="31"/>
      <c r="AF8" s="31"/>
      <c r="AG8" s="31"/>
    </row>
    <row r="9" spans="1:33">
      <c r="A9" s="16"/>
      <c r="B9" s="22" t="s">
        <v>25</v>
      </c>
      <c r="C9" s="16">
        <v>50</v>
      </c>
      <c r="D9" s="16">
        <v>2.6</v>
      </c>
      <c r="E9" s="16">
        <f>C9*7.7/100</f>
        <v>3.85</v>
      </c>
      <c r="F9" s="18">
        <f>C9*0.8/100</f>
        <v>0.4</v>
      </c>
      <c r="G9" s="16">
        <f>C9*49.5/100</f>
        <v>24.75</v>
      </c>
      <c r="H9" s="18">
        <f t="shared" si="0"/>
        <v>118</v>
      </c>
      <c r="I9" s="16">
        <f>C9*0.11/100</f>
        <v>5.5E-2</v>
      </c>
      <c r="J9" s="23">
        <v>0</v>
      </c>
      <c r="K9" s="23">
        <v>0</v>
      </c>
      <c r="L9" s="16">
        <f>C9*1.1/100</f>
        <v>0.55000000000000004</v>
      </c>
      <c r="M9" s="18">
        <f>C9*20/100</f>
        <v>10</v>
      </c>
      <c r="N9" s="18">
        <f>C9*65/100</f>
        <v>32.5</v>
      </c>
      <c r="O9" s="18">
        <f>C9*49/100</f>
        <v>24.5</v>
      </c>
      <c r="P9" s="16">
        <f>C9*1.1/100</f>
        <v>0.55000000000000004</v>
      </c>
      <c r="Q9" s="21"/>
      <c r="R9" s="21"/>
      <c r="S9" s="14"/>
      <c r="T9" s="15"/>
    </row>
    <row r="10" spans="1:33">
      <c r="A10" s="16"/>
      <c r="B10" s="22" t="s">
        <v>44</v>
      </c>
      <c r="C10" s="16">
        <v>50</v>
      </c>
      <c r="D10" s="16">
        <v>2.65</v>
      </c>
      <c r="E10" s="16">
        <f>D10*7.7/100</f>
        <v>0.20405000000000001</v>
      </c>
      <c r="F10" s="18">
        <f>D10*0.8/100</f>
        <v>2.12E-2</v>
      </c>
      <c r="G10" s="16">
        <f>D10*49.5/100</f>
        <v>1.3117499999999997</v>
      </c>
      <c r="H10" s="18">
        <f t="shared" si="0"/>
        <v>6.2539999999999996</v>
      </c>
      <c r="I10" s="18">
        <f>D10*0.11/100</f>
        <v>2.9149999999999996E-3</v>
      </c>
      <c r="J10" s="23">
        <v>0</v>
      </c>
      <c r="K10" s="23">
        <v>0</v>
      </c>
      <c r="L10" s="16">
        <f>D10*1.1/100</f>
        <v>2.9149999999999999E-2</v>
      </c>
      <c r="M10" s="18">
        <f>D10*20/100</f>
        <v>0.53</v>
      </c>
      <c r="N10" s="18">
        <f>D10*65/100</f>
        <v>1.7224999999999999</v>
      </c>
      <c r="O10" s="18">
        <f>D10*14/100</f>
        <v>0.371</v>
      </c>
      <c r="P10" s="16">
        <f>D10*1.1/100</f>
        <v>2.9149999999999999E-2</v>
      </c>
      <c r="Q10" s="21"/>
      <c r="R10" s="21"/>
      <c r="S10" s="14"/>
      <c r="T10" s="15"/>
    </row>
    <row r="11" spans="1:33" ht="25.5">
      <c r="A11" s="16" t="s">
        <v>37</v>
      </c>
      <c r="B11" s="17" t="s">
        <v>38</v>
      </c>
      <c r="C11" s="16">
        <v>200</v>
      </c>
      <c r="D11" s="16">
        <v>2.5</v>
      </c>
      <c r="E11" s="23">
        <v>0</v>
      </c>
      <c r="F11" s="23">
        <v>0</v>
      </c>
      <c r="G11" s="18">
        <v>38.4</v>
      </c>
      <c r="H11" s="18">
        <f t="shared" si="0"/>
        <v>153.6</v>
      </c>
      <c r="I11" s="23">
        <v>0</v>
      </c>
      <c r="J11" s="23">
        <v>0</v>
      </c>
      <c r="K11" s="23">
        <v>0</v>
      </c>
      <c r="L11" s="23">
        <v>0</v>
      </c>
      <c r="M11" s="18">
        <f>C11*4.65/100</f>
        <v>9.3000000000000007</v>
      </c>
      <c r="N11" s="18">
        <f>C11*4.42/100</f>
        <v>8.84</v>
      </c>
      <c r="O11" s="23">
        <v>0</v>
      </c>
      <c r="P11" s="16">
        <f>C11*0.03/100</f>
        <v>0.06</v>
      </c>
      <c r="Q11" s="21"/>
      <c r="R11" s="21"/>
      <c r="S11" s="14"/>
      <c r="T11" s="15"/>
    </row>
    <row r="12" spans="1:33">
      <c r="A12" s="24"/>
      <c r="B12" s="25" t="s">
        <v>45</v>
      </c>
      <c r="C12" s="24">
        <v>34</v>
      </c>
      <c r="D12" s="26">
        <v>9.7100000000000009</v>
      </c>
      <c r="E12" s="26">
        <v>0.5</v>
      </c>
      <c r="F12" s="26">
        <v>11</v>
      </c>
      <c r="G12" s="26">
        <f t="shared" ref="G12" si="1">F12*4+E12*9+D12*4</f>
        <v>87.34</v>
      </c>
      <c r="H12" s="24">
        <v>0.04</v>
      </c>
      <c r="I12" s="26">
        <v>10</v>
      </c>
      <c r="J12" s="27">
        <v>0</v>
      </c>
      <c r="K12" s="26">
        <v>0.4</v>
      </c>
      <c r="L12" s="26">
        <v>8</v>
      </c>
      <c r="M12" s="26">
        <v>28</v>
      </c>
      <c r="N12" s="26">
        <v>42</v>
      </c>
      <c r="O12" s="26">
        <v>0.6</v>
      </c>
      <c r="P12" s="21"/>
      <c r="Q12" s="21"/>
      <c r="R12" s="14"/>
      <c r="S12" s="15"/>
    </row>
    <row r="13" spans="1:33">
      <c r="A13" s="53" t="s">
        <v>46</v>
      </c>
      <c r="B13" s="54"/>
      <c r="C13" s="28">
        <f>SUM(C6:C12)</f>
        <v>824</v>
      </c>
      <c r="D13" s="29">
        <f>SUM(D6:D12)</f>
        <v>67</v>
      </c>
      <c r="E13" s="28">
        <f t="shared" ref="E13:P13" si="2">SUM(E6:E12)</f>
        <v>23.314049999999998</v>
      </c>
      <c r="F13" s="28">
        <f t="shared" si="2"/>
        <v>36.721199999999996</v>
      </c>
      <c r="G13" s="29">
        <f t="shared" si="2"/>
        <v>222.70175</v>
      </c>
      <c r="H13" s="29">
        <f t="shared" si="2"/>
        <v>864.23400000000004</v>
      </c>
      <c r="I13" s="29">
        <f t="shared" si="2"/>
        <v>10.315915</v>
      </c>
      <c r="J13" s="30">
        <f t="shared" si="2"/>
        <v>4.96</v>
      </c>
      <c r="K13" s="28">
        <f t="shared" si="2"/>
        <v>0.41000000000000003</v>
      </c>
      <c r="L13" s="29">
        <f t="shared" si="2"/>
        <v>11.81915</v>
      </c>
      <c r="M13" s="29">
        <f t="shared" si="2"/>
        <v>160.87</v>
      </c>
      <c r="N13" s="29">
        <f t="shared" si="2"/>
        <v>475.17249999999996</v>
      </c>
      <c r="O13" s="29">
        <f t="shared" si="2"/>
        <v>101.89099999999999</v>
      </c>
      <c r="P13" s="28">
        <f t="shared" si="2"/>
        <v>7.1891499999999988</v>
      </c>
      <c r="Q13" s="21"/>
      <c r="R13" s="21"/>
      <c r="S13" s="14" t="s">
        <v>29</v>
      </c>
      <c r="T13" s="15"/>
    </row>
    <row r="14" spans="1:33">
      <c r="A14" s="53" t="s">
        <v>47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4"/>
      <c r="Q14" s="21"/>
      <c r="R14" s="21"/>
      <c r="S14" s="14"/>
      <c r="T14" s="15"/>
    </row>
    <row r="15" spans="1:33">
      <c r="A15" s="16" t="s">
        <v>31</v>
      </c>
      <c r="B15" s="22" t="s">
        <v>32</v>
      </c>
      <c r="C15" s="16">
        <v>250</v>
      </c>
      <c r="D15" s="16">
        <v>6.99</v>
      </c>
      <c r="E15" s="18">
        <v>6.2</v>
      </c>
      <c r="F15" s="18">
        <v>5.6</v>
      </c>
      <c r="G15" s="18">
        <v>22.3</v>
      </c>
      <c r="H15" s="18">
        <f t="shared" ref="H15:H19" si="3">G15*4+F15*9+E15*4</f>
        <v>164.4</v>
      </c>
      <c r="I15" s="16">
        <v>0.13</v>
      </c>
      <c r="J15" s="18">
        <v>4.5999999999999996</v>
      </c>
      <c r="K15" s="16">
        <v>0.01</v>
      </c>
      <c r="L15" s="23">
        <v>0</v>
      </c>
      <c r="M15" s="18">
        <v>58.24</v>
      </c>
      <c r="N15" s="18">
        <v>119.71</v>
      </c>
      <c r="O15" s="18">
        <v>33.619999999999997</v>
      </c>
      <c r="P15" s="16">
        <v>1.71</v>
      </c>
      <c r="Q15" s="21"/>
      <c r="R15" s="21"/>
      <c r="S15" s="14"/>
      <c r="T15" s="15"/>
    </row>
    <row r="16" spans="1:33">
      <c r="A16" s="16" t="s">
        <v>33</v>
      </c>
      <c r="B16" s="17" t="s">
        <v>34</v>
      </c>
      <c r="C16" s="16">
        <v>200</v>
      </c>
      <c r="D16" s="16">
        <v>5.28</v>
      </c>
      <c r="E16" s="18">
        <f>C16*3.5/100</f>
        <v>7</v>
      </c>
      <c r="F16" s="18">
        <f>C16*4.1/100</f>
        <v>8.1999999999999993</v>
      </c>
      <c r="G16" s="18">
        <f>C16*23.5/100</f>
        <v>47</v>
      </c>
      <c r="H16" s="18">
        <f t="shared" si="3"/>
        <v>289.8</v>
      </c>
      <c r="I16" s="16">
        <f>C16*0.04/100</f>
        <v>0.08</v>
      </c>
      <c r="J16" s="23">
        <v>0</v>
      </c>
      <c r="K16" s="23">
        <v>0</v>
      </c>
      <c r="L16" s="18">
        <f>C16*1.5/100</f>
        <v>3</v>
      </c>
      <c r="M16" s="18">
        <f>C16*24/100</f>
        <v>48</v>
      </c>
      <c r="N16" s="18">
        <f>C16*106/100</f>
        <v>212</v>
      </c>
      <c r="O16" s="18">
        <f>C16*17/100</f>
        <v>34</v>
      </c>
      <c r="P16" s="18">
        <f>C16*2.1/100</f>
        <v>4.2</v>
      </c>
      <c r="Q16" s="21"/>
      <c r="R16" s="21"/>
      <c r="S16" s="52"/>
      <c r="T16" s="52"/>
      <c r="U16" s="51"/>
      <c r="V16" s="52"/>
      <c r="W16" s="52"/>
      <c r="X16" s="52"/>
      <c r="Y16" s="51"/>
      <c r="Z16" s="52"/>
      <c r="AA16" s="52"/>
      <c r="AB16" s="52"/>
      <c r="AC16" s="52"/>
      <c r="AD16" s="52"/>
      <c r="AE16" s="52"/>
      <c r="AF16" s="52"/>
      <c r="AG16" s="52"/>
    </row>
    <row r="17" spans="1:33">
      <c r="A17" s="16" t="s">
        <v>35</v>
      </c>
      <c r="B17" s="22" t="s">
        <v>36</v>
      </c>
      <c r="C17" s="16">
        <v>40</v>
      </c>
      <c r="D17" s="16">
        <v>52.13</v>
      </c>
      <c r="E17" s="18">
        <f>C17*13.9/100</f>
        <v>5.56</v>
      </c>
      <c r="F17" s="18">
        <v>11.5</v>
      </c>
      <c r="G17" s="18">
        <f>C17*4/100</f>
        <v>1.6</v>
      </c>
      <c r="H17" s="18">
        <f t="shared" si="3"/>
        <v>132.14000000000001</v>
      </c>
      <c r="I17" s="19">
        <f>C17*0.12/100</f>
        <v>4.8000000000000001E-2</v>
      </c>
      <c r="J17" s="19">
        <f>C17*0.9/100</f>
        <v>0.36</v>
      </c>
      <c r="K17" s="20">
        <v>0</v>
      </c>
      <c r="L17" s="19">
        <f>C17*0.6/100</f>
        <v>0.24</v>
      </c>
      <c r="M17" s="19">
        <f>C17*17/100</f>
        <v>6.8</v>
      </c>
      <c r="N17" s="19">
        <f>C17*146/100</f>
        <v>58.4</v>
      </c>
      <c r="O17" s="19">
        <f>C17*22/100</f>
        <v>8.8000000000000007</v>
      </c>
      <c r="P17" s="19">
        <f>C17*1.6/100</f>
        <v>0.64</v>
      </c>
      <c r="Q17" s="21"/>
      <c r="R17" s="21"/>
      <c r="S17" s="52"/>
      <c r="T17" s="52"/>
      <c r="U17" s="51"/>
      <c r="V17" s="31"/>
      <c r="W17" s="31"/>
      <c r="X17" s="31"/>
      <c r="Y17" s="51"/>
      <c r="Z17" s="31"/>
      <c r="AA17" s="31"/>
      <c r="AB17" s="31"/>
      <c r="AC17" s="31"/>
      <c r="AD17" s="31"/>
      <c r="AE17" s="31"/>
      <c r="AF17" s="31"/>
      <c r="AG17" s="31"/>
    </row>
    <row r="18" spans="1:33">
      <c r="A18" s="16"/>
      <c r="B18" s="22" t="s">
        <v>25</v>
      </c>
      <c r="C18" s="16">
        <v>50</v>
      </c>
      <c r="D18" s="16">
        <v>3.38</v>
      </c>
      <c r="E18" s="16">
        <f>C18*7.7/100</f>
        <v>3.85</v>
      </c>
      <c r="F18" s="18">
        <f>C18*0.8/100</f>
        <v>0.4</v>
      </c>
      <c r="G18" s="16">
        <f>C18*49.5/100</f>
        <v>24.75</v>
      </c>
      <c r="H18" s="18">
        <f t="shared" si="3"/>
        <v>118</v>
      </c>
      <c r="I18" s="16">
        <f>C18*0.11/100</f>
        <v>5.5E-2</v>
      </c>
      <c r="J18" s="23">
        <v>0</v>
      </c>
      <c r="K18" s="23">
        <v>0</v>
      </c>
      <c r="L18" s="16">
        <f>C18*1.1/100</f>
        <v>0.55000000000000004</v>
      </c>
      <c r="M18" s="18">
        <f>C18*20/100</f>
        <v>10</v>
      </c>
      <c r="N18" s="18">
        <f>C18*65/100</f>
        <v>32.5</v>
      </c>
      <c r="O18" s="18">
        <f>C18*49/100</f>
        <v>24.5</v>
      </c>
      <c r="P18" s="16">
        <f>C18*1.1/100</f>
        <v>0.55000000000000004</v>
      </c>
      <c r="Q18" s="21"/>
      <c r="R18" s="21"/>
      <c r="S18" s="14"/>
      <c r="T18" s="15"/>
    </row>
    <row r="19" spans="1:33" ht="25.5">
      <c r="A19" s="16" t="s">
        <v>37</v>
      </c>
      <c r="B19" s="17" t="s">
        <v>38</v>
      </c>
      <c r="C19" s="16">
        <v>200</v>
      </c>
      <c r="D19" s="16">
        <v>3.25</v>
      </c>
      <c r="E19" s="23">
        <v>0</v>
      </c>
      <c r="F19" s="23">
        <v>0</v>
      </c>
      <c r="G19" s="18">
        <v>38.4</v>
      </c>
      <c r="H19" s="18">
        <f t="shared" si="3"/>
        <v>153.6</v>
      </c>
      <c r="I19" s="23">
        <v>0</v>
      </c>
      <c r="J19" s="23">
        <v>0</v>
      </c>
      <c r="K19" s="23">
        <v>0</v>
      </c>
      <c r="L19" s="23">
        <v>0</v>
      </c>
      <c r="M19" s="18">
        <f>C19*4.65/100</f>
        <v>9.3000000000000007</v>
      </c>
      <c r="N19" s="18">
        <f>C19*4.42/100</f>
        <v>8.84</v>
      </c>
      <c r="O19" s="23">
        <v>0</v>
      </c>
      <c r="P19" s="16">
        <f>C19*0.03/100</f>
        <v>0.06</v>
      </c>
      <c r="Q19" s="21"/>
      <c r="R19" s="21"/>
      <c r="S19" s="14"/>
      <c r="T19" s="15"/>
    </row>
    <row r="20" spans="1:33">
      <c r="A20" s="53" t="s">
        <v>39</v>
      </c>
      <c r="B20" s="54"/>
      <c r="C20" s="28">
        <f t="shared" ref="C20:P20" si="4">SUM(C15:C19)</f>
        <v>740</v>
      </c>
      <c r="D20" s="28">
        <f>SUM(D15:D19)</f>
        <v>71.03</v>
      </c>
      <c r="E20" s="28">
        <f t="shared" si="4"/>
        <v>22.61</v>
      </c>
      <c r="F20" s="28">
        <f t="shared" si="4"/>
        <v>25.699999999999996</v>
      </c>
      <c r="G20" s="28">
        <f t="shared" si="4"/>
        <v>134.04999999999998</v>
      </c>
      <c r="H20" s="28">
        <f t="shared" si="4"/>
        <v>857.94</v>
      </c>
      <c r="I20" s="29">
        <f t="shared" si="4"/>
        <v>0.313</v>
      </c>
      <c r="J20" s="29">
        <f t="shared" si="4"/>
        <v>4.96</v>
      </c>
      <c r="K20" s="29">
        <f t="shared" si="4"/>
        <v>0.01</v>
      </c>
      <c r="L20" s="29">
        <f t="shared" si="4"/>
        <v>3.79</v>
      </c>
      <c r="M20" s="29">
        <f t="shared" si="4"/>
        <v>132.34</v>
      </c>
      <c r="N20" s="29">
        <f t="shared" si="4"/>
        <v>431.44999999999993</v>
      </c>
      <c r="O20" s="29">
        <f t="shared" si="4"/>
        <v>100.92</v>
      </c>
      <c r="P20" s="29">
        <f t="shared" si="4"/>
        <v>7.1599999999999993</v>
      </c>
      <c r="Q20" s="21"/>
      <c r="R20" s="21"/>
      <c r="S20" s="14"/>
      <c r="T20" s="15"/>
    </row>
    <row r="21" spans="1:33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  <c r="Q21" s="21"/>
      <c r="R21" s="21"/>
      <c r="S21" s="14"/>
      <c r="T21" s="15"/>
    </row>
    <row r="22" spans="1:33" s="15" customFormat="1">
      <c r="A22" s="71" t="s">
        <v>48</v>
      </c>
      <c r="B22" s="71"/>
      <c r="C22" s="39"/>
      <c r="D22" s="39"/>
      <c r="E22" s="49"/>
      <c r="F22" s="49"/>
      <c r="G22" s="49"/>
      <c r="H22" s="50"/>
      <c r="I22" s="49"/>
      <c r="J22" s="49"/>
      <c r="K22" s="50"/>
      <c r="L22" s="50"/>
      <c r="M22" s="49"/>
      <c r="N22" s="49"/>
      <c r="O22" s="49"/>
      <c r="P22" s="50"/>
      <c r="Q22" s="21"/>
      <c r="R22" s="21"/>
      <c r="S22" s="14"/>
    </row>
  </sheetData>
  <mergeCells count="28">
    <mergeCell ref="A3:A4"/>
    <mergeCell ref="B3:B4"/>
    <mergeCell ref="C3:C4"/>
    <mergeCell ref="E3:G3"/>
    <mergeCell ref="H3:H4"/>
    <mergeCell ref="V7:X7"/>
    <mergeCell ref="Y7:Y8"/>
    <mergeCell ref="Z7:AC7"/>
    <mergeCell ref="E2:I2"/>
    <mergeCell ref="K2:P2"/>
    <mergeCell ref="I3:L3"/>
    <mergeCell ref="M3:P3"/>
    <mergeCell ref="A20:B20"/>
    <mergeCell ref="A21:P21"/>
    <mergeCell ref="A22:B22"/>
    <mergeCell ref="AD7:AG7"/>
    <mergeCell ref="A13:B13"/>
    <mergeCell ref="A14:P14"/>
    <mergeCell ref="S16:S17"/>
    <mergeCell ref="T16:T17"/>
    <mergeCell ref="U16:U17"/>
    <mergeCell ref="V16:X16"/>
    <mergeCell ref="Y16:Y17"/>
    <mergeCell ref="Z16:AC16"/>
    <mergeCell ref="AD16:AG16"/>
    <mergeCell ref="S7:S8"/>
    <mergeCell ref="T7:T8"/>
    <mergeCell ref="U7:U8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2022-09-29T10:57:50Z</dcterms:modified>
</cp:coreProperties>
</file>