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18" i="2"/>
  <c r="J18"/>
  <c r="F18"/>
  <c r="D18"/>
  <c r="P17"/>
  <c r="N17"/>
  <c r="M17"/>
  <c r="H17"/>
  <c r="P16"/>
  <c r="P18" s="1"/>
  <c r="O16"/>
  <c r="O18" s="1"/>
  <c r="N16"/>
  <c r="N18" s="1"/>
  <c r="M16"/>
  <c r="M18" s="1"/>
  <c r="L16"/>
  <c r="L18" s="1"/>
  <c r="I16"/>
  <c r="I18" s="1"/>
  <c r="G16"/>
  <c r="G18" s="1"/>
  <c r="F16"/>
  <c r="E16"/>
  <c r="E18" s="1"/>
  <c r="H14"/>
  <c r="K12"/>
  <c r="J12"/>
  <c r="D12"/>
  <c r="P11"/>
  <c r="N11"/>
  <c r="M11"/>
  <c r="H11"/>
  <c r="P10"/>
  <c r="O10"/>
  <c r="N10"/>
  <c r="M10"/>
  <c r="L10"/>
  <c r="I10"/>
  <c r="G10"/>
  <c r="H10" s="1"/>
  <c r="F10"/>
  <c r="E10"/>
  <c r="P9"/>
  <c r="P12" s="1"/>
  <c r="O9"/>
  <c r="N9"/>
  <c r="M9"/>
  <c r="L9"/>
  <c r="I9"/>
  <c r="G9"/>
  <c r="H9" s="1"/>
  <c r="F9"/>
  <c r="E9"/>
  <c r="O7"/>
  <c r="O12" s="1"/>
  <c r="N7"/>
  <c r="N12" s="1"/>
  <c r="M7"/>
  <c r="M12" s="1"/>
  <c r="L7"/>
  <c r="L12" s="1"/>
  <c r="I7"/>
  <c r="I12" s="1"/>
  <c r="H7"/>
  <c r="F7"/>
  <c r="G7" s="1"/>
  <c r="G12" s="1"/>
  <c r="E7"/>
  <c r="E12" s="1"/>
  <c r="H6"/>
  <c r="H12" s="1"/>
  <c r="C17" i="1"/>
  <c r="P16"/>
  <c r="N16"/>
  <c r="M16"/>
  <c r="H16"/>
  <c r="P15"/>
  <c r="O15"/>
  <c r="N15"/>
  <c r="M15"/>
  <c r="L15"/>
  <c r="I15"/>
  <c r="G15"/>
  <c r="H15" s="1"/>
  <c r="F15"/>
  <c r="E15"/>
  <c r="P14"/>
  <c r="O14"/>
  <c r="N14"/>
  <c r="M14"/>
  <c r="L14"/>
  <c r="I14"/>
  <c r="G14"/>
  <c r="H14" s="1"/>
  <c r="F14"/>
  <c r="E14"/>
  <c r="P13"/>
  <c r="P17" s="1"/>
  <c r="O13"/>
  <c r="O17" s="1"/>
  <c r="N13"/>
  <c r="N17" s="1"/>
  <c r="M13"/>
  <c r="M17" s="1"/>
  <c r="L13"/>
  <c r="L17" s="1"/>
  <c r="K13"/>
  <c r="K17" s="1"/>
  <c r="J13"/>
  <c r="J17" s="1"/>
  <c r="I13"/>
  <c r="I17" s="1"/>
  <c r="H13"/>
  <c r="G13"/>
  <c r="G17" s="1"/>
  <c r="F13"/>
  <c r="F17" s="1"/>
  <c r="E13"/>
  <c r="E17" s="1"/>
  <c r="H12"/>
  <c r="H17" s="1"/>
  <c r="P10"/>
  <c r="P19" s="1"/>
  <c r="N10"/>
  <c r="N19" s="1"/>
  <c r="L10"/>
  <c r="L19" s="1"/>
  <c r="K10"/>
  <c r="K19" s="1"/>
  <c r="J10"/>
  <c r="J19" s="1"/>
  <c r="C10"/>
  <c r="P8"/>
  <c r="O8"/>
  <c r="O10" s="1"/>
  <c r="O19" s="1"/>
  <c r="N8"/>
  <c r="M8"/>
  <c r="M10" s="1"/>
  <c r="M19" s="1"/>
  <c r="L8"/>
  <c r="I8"/>
  <c r="I10" s="1"/>
  <c r="I19" s="1"/>
  <c r="G8"/>
  <c r="H8" s="1"/>
  <c r="F8"/>
  <c r="E8"/>
  <c r="H7"/>
  <c r="H6"/>
  <c r="H10" s="1"/>
  <c r="H19" s="1"/>
  <c r="G6"/>
  <c r="G10" s="1"/>
  <c r="G19" s="1"/>
  <c r="F6"/>
  <c r="F10" s="1"/>
  <c r="F19" s="1"/>
  <c r="E6"/>
  <c r="E10" s="1"/>
  <c r="E19" s="1"/>
  <c r="F12" i="2" l="1"/>
  <c r="H16"/>
  <c r="H18" s="1"/>
</calcChain>
</file>

<file path=xl/sharedStrings.xml><?xml version="1.0" encoding="utf-8"?>
<sst xmlns="http://schemas.openxmlformats.org/spreadsheetml/2006/main" count="89" uniqueCount="51">
  <si>
    <t>Меню на "______"__________________2022г.</t>
  </si>
  <si>
    <t>Утверждаю: Директор МБОУ Первомайская СОШ Ладик Е.В.___________</t>
  </si>
  <si>
    <t>Возрастная категория: 7-10 лет.</t>
  </si>
  <si>
    <t>День: среда (2 неделя)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</si>
  <si>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</si>
  <si>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</si>
  <si>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</si>
  <si>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</si>
  <si>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</si>
  <si>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</si>
  <si>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</si>
  <si>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</si>
  <si>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</si>
  <si>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</si>
  <si>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</si>
  <si>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</si>
  <si>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</si>
  <si>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</si>
  <si>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</si>
  <si>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</si>
  <si>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</si>
  <si>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</si>
  <si>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</si>
  <si>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</si>
  <si>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манная молочная жидкая с маслом</t>
  </si>
  <si>
    <t>148/2008г</t>
  </si>
  <si>
    <t>Кофейный напиток с молоком</t>
  </si>
  <si>
    <t>ПР</t>
  </si>
  <si>
    <t>Хлеб пшеничный</t>
  </si>
  <si>
    <t>Сыр порционно</t>
  </si>
  <si>
    <t>ИТОГО ЗА ЗАВТРАК:</t>
  </si>
  <si>
    <t xml:space="preserve"> </t>
  </si>
  <si>
    <t>ОБЕД</t>
  </si>
  <si>
    <t>39/2008г</t>
  </si>
  <si>
    <t>Борщ с капустой и картофелем со сметаной</t>
  </si>
  <si>
    <t>193/2013</t>
  </si>
  <si>
    <t>Запеканка картофельная с отварным мясом (говядина)</t>
  </si>
  <si>
    <t>Хлеб ржано-пшеничный</t>
  </si>
  <si>
    <t>150/2008г</t>
  </si>
  <si>
    <t>Кисель из повидла, джема, варенья (из концентрата)</t>
  </si>
  <si>
    <t>ИТОГО ЗА ОБЕД:</t>
  </si>
  <si>
    <t>ИТОГО ЗА ДЕНЬ:</t>
  </si>
  <si>
    <t>Шеф-повар____________________________________</t>
  </si>
  <si>
    <t>Утверждаю: Директор МБОУ Первомайская СОШ Ладик Е.В._______________</t>
  </si>
  <si>
    <t>Возрастная категория: 11 лет и старше.</t>
  </si>
  <si>
    <t>ОБЕД многодетные, малообеспеченные, ОВЗ</t>
  </si>
  <si>
    <t>Огурцы свежие порционно</t>
  </si>
  <si>
    <t>Кисель из повидла, джема, варенья</t>
  </si>
  <si>
    <t>ИТОГО ЗА обед:</t>
  </si>
  <si>
    <t>ОБЕД платники</t>
  </si>
  <si>
    <t>Шеф-повар___________________________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</si>
</sst>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vertical="top" wrapText="1"/>
    </xf>
    <xf numFmtId="2" fontId="9" fillId="0" borderId="7" xfId="0" applyNumberFormat="1" applyFont="1" applyBorder="1" applyAlignment="1">
      <alignment horizontal="center" vertical="top" wrapText="1"/>
    </xf>
    <xf numFmtId="2" fontId="9" fillId="0" borderId="7" xfId="0" applyNumberFormat="1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H22" sqref="H22"/>
    </sheetView>
  </sheetViews>
  <sheetFormatPr defaultRowHeight="15"/>
  <cols>
    <col min="1" max="1" width="9.85546875" customWidth="1"/>
    <col min="2" max="2" width="33" customWidth="1"/>
    <col min="3" max="4" width="8" customWidth="1"/>
    <col min="5" max="5" width="6.42578125" customWidth="1"/>
    <col min="6" max="6" width="5.85546875" customWidth="1"/>
    <col min="7" max="7" width="8.140625" customWidth="1"/>
    <col min="8" max="8" width="8.85546875" customWidth="1"/>
    <col min="9" max="9" width="5.7109375" customWidth="1"/>
    <col min="10" max="10" width="6" customWidth="1"/>
    <col min="11" max="11" width="5.5703125" customWidth="1"/>
    <col min="12" max="12" width="6" customWidth="1"/>
    <col min="13" max="13" width="6.42578125" customWidth="1"/>
    <col min="14" max="14" width="9.28515625" customWidth="1"/>
    <col min="15" max="15" width="7" customWidth="1"/>
    <col min="16" max="16" width="6.42578125" customWidth="1"/>
  </cols>
  <sheetData>
    <row r="1" spans="1:20" ht="52.5" customHeight="1">
      <c r="A1" s="1" t="s">
        <v>0</v>
      </c>
      <c r="B1" s="2"/>
      <c r="C1" s="2"/>
      <c r="D1" s="1" t="s">
        <v>1</v>
      </c>
      <c r="E1" s="2"/>
      <c r="H1" s="2"/>
      <c r="K1" s="3"/>
      <c r="L1" s="4"/>
      <c r="M1" s="4"/>
      <c r="N1" s="4"/>
      <c r="O1" s="2"/>
      <c r="P1" s="3"/>
      <c r="Q1" s="3"/>
    </row>
    <row r="2" spans="1:20" ht="15.75">
      <c r="A2" s="5" t="s">
        <v>2</v>
      </c>
      <c r="B2" s="5"/>
      <c r="C2" s="6" t="s">
        <v>3</v>
      </c>
      <c r="D2" s="6"/>
      <c r="E2" s="6"/>
      <c r="F2" s="6"/>
      <c r="G2" s="6"/>
      <c r="H2" s="6"/>
      <c r="I2" s="7"/>
      <c r="J2" s="7"/>
      <c r="K2" s="8"/>
      <c r="L2" s="8"/>
      <c r="M2" s="8"/>
      <c r="N2" s="8"/>
      <c r="O2" s="8"/>
      <c r="P2" s="8"/>
    </row>
    <row r="3" spans="1:20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6"/>
    </row>
    <row r="4" spans="1:20" ht="27" customHeight="1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6"/>
    </row>
    <row r="5" spans="1:20">
      <c r="A5" s="21"/>
      <c r="B5" s="22"/>
      <c r="C5" s="22"/>
      <c r="D5" s="22"/>
      <c r="E5" s="22"/>
      <c r="F5" s="22"/>
      <c r="G5" s="23" t="s">
        <v>23</v>
      </c>
      <c r="H5" s="22"/>
      <c r="I5" s="22"/>
      <c r="J5" s="22"/>
      <c r="K5" s="22"/>
      <c r="L5" s="22"/>
      <c r="M5" s="22"/>
      <c r="N5" s="22"/>
      <c r="O5" s="22"/>
      <c r="P5" s="24"/>
      <c r="Q5" s="15"/>
      <c r="R5" s="15"/>
      <c r="S5" s="16"/>
    </row>
    <row r="6" spans="1:20">
      <c r="A6" s="25">
        <v>125</v>
      </c>
      <c r="B6" s="26" t="s">
        <v>24</v>
      </c>
      <c r="C6" s="25">
        <v>180</v>
      </c>
      <c r="D6" s="25">
        <v>10.09</v>
      </c>
      <c r="E6" s="27">
        <f>4.4/150*C6</f>
        <v>5.28</v>
      </c>
      <c r="F6" s="27">
        <f>6.3/150*C6</f>
        <v>7.56</v>
      </c>
      <c r="G6" s="27">
        <f>21.8/150*C6</f>
        <v>26.16</v>
      </c>
      <c r="H6" s="25">
        <f>157.2/150*C6</f>
        <v>188.63999999999996</v>
      </c>
      <c r="I6" s="28">
        <v>0.06</v>
      </c>
      <c r="J6" s="29">
        <v>1.03</v>
      </c>
      <c r="K6" s="29">
        <v>7.0000000000000007E-2</v>
      </c>
      <c r="L6" s="29">
        <v>2.2000000000000002</v>
      </c>
      <c r="M6" s="29">
        <v>100.72</v>
      </c>
      <c r="N6" s="29">
        <v>92.26</v>
      </c>
      <c r="O6" s="29">
        <v>15.33</v>
      </c>
      <c r="P6" s="29">
        <v>0.3</v>
      </c>
      <c r="Q6" s="30"/>
      <c r="R6" s="15"/>
      <c r="S6" s="16"/>
    </row>
    <row r="7" spans="1:20">
      <c r="A7" s="31" t="s">
        <v>25</v>
      </c>
      <c r="B7" s="32" t="s">
        <v>26</v>
      </c>
      <c r="C7" s="31">
        <v>200</v>
      </c>
      <c r="D7" s="31">
        <v>8.4600000000000009</v>
      </c>
      <c r="E7" s="33">
        <v>2.7</v>
      </c>
      <c r="F7" s="33">
        <v>2.8</v>
      </c>
      <c r="G7" s="33">
        <v>22.4</v>
      </c>
      <c r="H7" s="33">
        <f>G7*4+F7*9+E7*4</f>
        <v>125.6</v>
      </c>
      <c r="I7" s="33">
        <v>0.22</v>
      </c>
      <c r="J7" s="33">
        <v>1.3</v>
      </c>
      <c r="K7" s="33">
        <v>0.02</v>
      </c>
      <c r="L7" s="34">
        <v>0</v>
      </c>
      <c r="M7" s="31">
        <v>125.78</v>
      </c>
      <c r="N7" s="33">
        <v>90</v>
      </c>
      <c r="O7" s="33">
        <v>14</v>
      </c>
      <c r="P7" s="33">
        <v>0.13</v>
      </c>
      <c r="Q7" s="30"/>
      <c r="R7" s="15"/>
      <c r="S7" s="16"/>
    </row>
    <row r="8" spans="1:20">
      <c r="A8" s="35" t="s">
        <v>27</v>
      </c>
      <c r="B8" s="32" t="s">
        <v>28</v>
      </c>
      <c r="C8" s="31">
        <v>50</v>
      </c>
      <c r="D8" s="31">
        <v>2.6</v>
      </c>
      <c r="E8" s="31">
        <f>C8*7.7/100</f>
        <v>3.85</v>
      </c>
      <c r="F8" s="33">
        <f>C8*0.8/100</f>
        <v>0.4</v>
      </c>
      <c r="G8" s="31">
        <f>C8*49.5/100</f>
        <v>24.75</v>
      </c>
      <c r="H8" s="33">
        <f>G8*4+F8*9+E8*4</f>
        <v>118</v>
      </c>
      <c r="I8" s="33">
        <f>C8*0.11/100</f>
        <v>5.5E-2</v>
      </c>
      <c r="J8" s="34">
        <v>0</v>
      </c>
      <c r="K8" s="34">
        <v>0</v>
      </c>
      <c r="L8" s="31">
        <f>C8*1.1/100</f>
        <v>0.55000000000000004</v>
      </c>
      <c r="M8" s="33">
        <f>C8*20/100</f>
        <v>10</v>
      </c>
      <c r="N8" s="33">
        <f>C8*65/100</f>
        <v>32.5</v>
      </c>
      <c r="O8" s="33">
        <f>C8*49/100</f>
        <v>24.5</v>
      </c>
      <c r="P8" s="31">
        <f>C8*1.1/100</f>
        <v>0.55000000000000004</v>
      </c>
      <c r="Q8" s="30"/>
      <c r="R8" s="15"/>
      <c r="S8" s="16"/>
    </row>
    <row r="9" spans="1:20">
      <c r="A9" s="35"/>
      <c r="B9" s="36" t="s">
        <v>29</v>
      </c>
      <c r="C9" s="37">
        <v>20</v>
      </c>
      <c r="D9" s="37">
        <v>10.32</v>
      </c>
      <c r="E9" s="37">
        <v>5.0999999999999996</v>
      </c>
      <c r="F9" s="37">
        <v>4.5999999999999996</v>
      </c>
      <c r="G9" s="37">
        <v>0.3</v>
      </c>
      <c r="H9" s="37">
        <v>63</v>
      </c>
      <c r="I9" s="38">
        <v>0.03</v>
      </c>
      <c r="J9" s="39">
        <v>0</v>
      </c>
      <c r="K9" s="39">
        <v>6.1</v>
      </c>
      <c r="L9" s="37">
        <v>0.24</v>
      </c>
      <c r="M9" s="38">
        <v>91.59</v>
      </c>
      <c r="N9" s="38">
        <v>118.98</v>
      </c>
      <c r="O9" s="38">
        <v>17.37</v>
      </c>
      <c r="P9" s="37">
        <v>0.86</v>
      </c>
      <c r="Q9" s="30"/>
      <c r="R9" s="15"/>
      <c r="S9" s="16"/>
    </row>
    <row r="10" spans="1:20">
      <c r="A10" s="40" t="s">
        <v>30</v>
      </c>
      <c r="B10" s="41"/>
      <c r="C10" s="42">
        <f t="shared" ref="C10:P10" si="0">SUM(C6:C9)</f>
        <v>450</v>
      </c>
      <c r="D10" s="42"/>
      <c r="E10" s="42">
        <f t="shared" si="0"/>
        <v>16.93</v>
      </c>
      <c r="F10" s="42">
        <f t="shared" si="0"/>
        <v>15.36</v>
      </c>
      <c r="G10" s="43">
        <f t="shared" si="0"/>
        <v>73.61</v>
      </c>
      <c r="H10" s="42">
        <f t="shared" si="0"/>
        <v>495.23999999999995</v>
      </c>
      <c r="I10" s="43">
        <f t="shared" si="0"/>
        <v>0.36499999999999999</v>
      </c>
      <c r="J10" s="43">
        <f t="shared" si="0"/>
        <v>2.33</v>
      </c>
      <c r="K10" s="43">
        <f t="shared" si="0"/>
        <v>6.1899999999999995</v>
      </c>
      <c r="L10" s="42">
        <f t="shared" si="0"/>
        <v>2.99</v>
      </c>
      <c r="M10" s="42">
        <f t="shared" si="0"/>
        <v>328.09000000000003</v>
      </c>
      <c r="N10" s="43">
        <f t="shared" si="0"/>
        <v>333.74</v>
      </c>
      <c r="O10" s="42">
        <f t="shared" si="0"/>
        <v>71.2</v>
      </c>
      <c r="P10" s="42">
        <f t="shared" si="0"/>
        <v>1.8399999999999999</v>
      </c>
      <c r="Q10" s="30"/>
      <c r="R10" s="15" t="s">
        <v>31</v>
      </c>
      <c r="S10" s="16"/>
    </row>
    <row r="11" spans="1:20">
      <c r="A11" s="44" t="s">
        <v>32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30"/>
      <c r="R11" s="15"/>
      <c r="S11" s="16"/>
    </row>
    <row r="12" spans="1:20">
      <c r="A12" s="37" t="s">
        <v>33</v>
      </c>
      <c r="B12" s="36" t="s">
        <v>34</v>
      </c>
      <c r="C12" s="37">
        <v>200</v>
      </c>
      <c r="D12" s="37">
        <v>8.84</v>
      </c>
      <c r="E12" s="38">
        <v>2.8</v>
      </c>
      <c r="F12" s="38">
        <v>8.6999999999999993</v>
      </c>
      <c r="G12" s="38">
        <v>13.9</v>
      </c>
      <c r="H12" s="38">
        <f>G12*4+F12*9+E12*4</f>
        <v>145.1</v>
      </c>
      <c r="I12" s="37">
        <v>0.05</v>
      </c>
      <c r="J12" s="38">
        <v>10.8</v>
      </c>
      <c r="K12" s="39">
        <v>0</v>
      </c>
      <c r="L12" s="38">
        <v>0.8</v>
      </c>
      <c r="M12" s="38">
        <v>58</v>
      </c>
      <c r="N12" s="38">
        <v>200</v>
      </c>
      <c r="O12" s="38">
        <v>30</v>
      </c>
      <c r="P12" s="38">
        <v>1.3</v>
      </c>
      <c r="Q12" s="30"/>
      <c r="R12" s="15"/>
      <c r="S12" s="16"/>
    </row>
    <row r="13" spans="1:20" ht="25.5">
      <c r="A13" s="47" t="s">
        <v>35</v>
      </c>
      <c r="B13" s="48" t="s">
        <v>36</v>
      </c>
      <c r="C13" s="47">
        <v>230</v>
      </c>
      <c r="D13" s="47">
        <v>35.020000000000003</v>
      </c>
      <c r="E13" s="49">
        <f>15.89/230*C13</f>
        <v>15.89</v>
      </c>
      <c r="F13" s="49">
        <f>16/230*C13</f>
        <v>16</v>
      </c>
      <c r="G13" s="49">
        <f>30.94/230*C13</f>
        <v>30.939999999999998</v>
      </c>
      <c r="H13" s="49">
        <f>292.36/230*C13</f>
        <v>292.36</v>
      </c>
      <c r="I13" s="50">
        <f>0.13/230*C13</f>
        <v>0.13</v>
      </c>
      <c r="J13" s="50">
        <f>1.13/230*C13</f>
        <v>1.1299999999999999</v>
      </c>
      <c r="K13" s="50">
        <f>56.25/230*C13</f>
        <v>56.25</v>
      </c>
      <c r="L13" s="51">
        <f>0.84/230*C13</f>
        <v>0.84</v>
      </c>
      <c r="M13" s="50">
        <f>67.78/230*C13</f>
        <v>67.78</v>
      </c>
      <c r="N13" s="50">
        <f>198.28/230*C13</f>
        <v>198.28</v>
      </c>
      <c r="O13" s="50">
        <f>52.59/230*C13</f>
        <v>52.59</v>
      </c>
      <c r="P13" s="50">
        <f>2.25/230*C13</f>
        <v>2.25</v>
      </c>
      <c r="Q13" s="52"/>
      <c r="R13" s="15"/>
      <c r="S13" s="16"/>
    </row>
    <row r="14" spans="1:20">
      <c r="A14" s="31"/>
      <c r="B14" s="32" t="s">
        <v>28</v>
      </c>
      <c r="C14" s="31">
        <v>50</v>
      </c>
      <c r="D14" s="31">
        <v>2.6</v>
      </c>
      <c r="E14" s="31">
        <f>C14*7.7/100</f>
        <v>3.85</v>
      </c>
      <c r="F14" s="33">
        <f>C14*0.8/100</f>
        <v>0.4</v>
      </c>
      <c r="G14" s="31">
        <f>C14*49.5/100</f>
        <v>24.75</v>
      </c>
      <c r="H14" s="33">
        <f>G14*4+F14*9+E14*4</f>
        <v>118</v>
      </c>
      <c r="I14" s="33">
        <f>C14*0.11/100</f>
        <v>5.5E-2</v>
      </c>
      <c r="J14" s="34">
        <v>0</v>
      </c>
      <c r="K14" s="34">
        <v>0</v>
      </c>
      <c r="L14" s="31">
        <f>C14*1.1/100</f>
        <v>0.55000000000000004</v>
      </c>
      <c r="M14" s="33">
        <f>C14*20/100</f>
        <v>10</v>
      </c>
      <c r="N14" s="33">
        <f>C14*65/100</f>
        <v>32.5</v>
      </c>
      <c r="O14" s="33">
        <f>C14*49/100</f>
        <v>24.5</v>
      </c>
      <c r="P14" s="31">
        <f>C14*1.1/100</f>
        <v>0.55000000000000004</v>
      </c>
      <c r="Q14" s="30"/>
      <c r="R14" s="15"/>
      <c r="S14" s="16"/>
    </row>
    <row r="15" spans="1:20">
      <c r="A15" s="37"/>
      <c r="B15" s="36" t="s">
        <v>37</v>
      </c>
      <c r="C15" s="37">
        <v>50</v>
      </c>
      <c r="D15" s="37">
        <v>2.65</v>
      </c>
      <c r="E15" s="37">
        <f>D15*7.7/100</f>
        <v>0.20405000000000001</v>
      </c>
      <c r="F15" s="38">
        <f>D15*0.8/100</f>
        <v>2.12E-2</v>
      </c>
      <c r="G15" s="37">
        <f>D15*49.5/100</f>
        <v>1.3117499999999997</v>
      </c>
      <c r="H15" s="38">
        <f t="shared" ref="H15" si="1">G15*4+F15*9+E15*4</f>
        <v>6.2539999999999996</v>
      </c>
      <c r="I15" s="38">
        <f>D15*0.11/100</f>
        <v>2.9149999999999996E-3</v>
      </c>
      <c r="J15" s="39">
        <v>0</v>
      </c>
      <c r="K15" s="39">
        <v>0</v>
      </c>
      <c r="L15" s="37">
        <f>D15*1.1/100</f>
        <v>2.9149999999999999E-2</v>
      </c>
      <c r="M15" s="38">
        <f>D15*20/100</f>
        <v>0.53</v>
      </c>
      <c r="N15" s="38">
        <f>D15*65/100</f>
        <v>1.7224999999999999</v>
      </c>
      <c r="O15" s="38">
        <f>D15*14/100</f>
        <v>0.371</v>
      </c>
      <c r="P15" s="37">
        <f>D15*1.1/100</f>
        <v>2.9149999999999999E-2</v>
      </c>
      <c r="Q15" s="30"/>
      <c r="R15" s="30"/>
      <c r="S15" s="15"/>
      <c r="T15" s="16"/>
    </row>
    <row r="16" spans="1:20" ht="25.5">
      <c r="A16" s="37" t="s">
        <v>38</v>
      </c>
      <c r="B16" s="53" t="s">
        <v>39</v>
      </c>
      <c r="C16" s="37">
        <v>200</v>
      </c>
      <c r="D16" s="37">
        <v>2.5</v>
      </c>
      <c r="E16" s="39">
        <v>0</v>
      </c>
      <c r="F16" s="39">
        <v>0</v>
      </c>
      <c r="G16" s="38">
        <v>38.4</v>
      </c>
      <c r="H16" s="38">
        <f>G16*4+F16*9+E16*4</f>
        <v>153.6</v>
      </c>
      <c r="I16" s="39">
        <v>0</v>
      </c>
      <c r="J16" s="39">
        <v>0</v>
      </c>
      <c r="K16" s="39">
        <v>0</v>
      </c>
      <c r="L16" s="39">
        <v>0</v>
      </c>
      <c r="M16" s="38">
        <f>C16*4.65/100</f>
        <v>9.3000000000000007</v>
      </c>
      <c r="N16" s="38">
        <f>C16*4.42/100</f>
        <v>8.84</v>
      </c>
      <c r="O16" s="39">
        <v>0</v>
      </c>
      <c r="P16" s="37">
        <f>C16*0.03/100</f>
        <v>0.06</v>
      </c>
      <c r="Q16" s="30"/>
      <c r="R16" s="15"/>
      <c r="S16" s="16"/>
    </row>
    <row r="17" spans="1:19">
      <c r="A17" s="40" t="s">
        <v>40</v>
      </c>
      <c r="B17" s="41"/>
      <c r="C17" s="42">
        <f>SUM(C12:C16)</f>
        <v>730</v>
      </c>
      <c r="D17" s="42"/>
      <c r="E17" s="43">
        <f t="shared" ref="E17:P17" si="2">SUM(E12:E16)</f>
        <v>22.744050000000001</v>
      </c>
      <c r="F17" s="43">
        <f t="shared" si="2"/>
        <v>25.121199999999998</v>
      </c>
      <c r="G17" s="43">
        <f t="shared" si="2"/>
        <v>109.30175</v>
      </c>
      <c r="H17" s="43">
        <f t="shared" si="2"/>
        <v>715.31400000000008</v>
      </c>
      <c r="I17" s="42">
        <f t="shared" si="2"/>
        <v>0.23791499999999999</v>
      </c>
      <c r="J17" s="43">
        <f t="shared" si="2"/>
        <v>11.93</v>
      </c>
      <c r="K17" s="43">
        <f t="shared" si="2"/>
        <v>56.25</v>
      </c>
      <c r="L17" s="43">
        <f t="shared" si="2"/>
        <v>2.2191500000000004</v>
      </c>
      <c r="M17" s="43">
        <f t="shared" si="2"/>
        <v>145.61000000000001</v>
      </c>
      <c r="N17" s="43">
        <f t="shared" si="2"/>
        <v>441.34249999999997</v>
      </c>
      <c r="O17" s="43">
        <f t="shared" si="2"/>
        <v>107.461</v>
      </c>
      <c r="P17" s="43">
        <f t="shared" si="2"/>
        <v>4.1891499999999988</v>
      </c>
      <c r="Q17" s="30"/>
      <c r="R17" s="15"/>
      <c r="S17" s="16"/>
    </row>
    <row r="18" spans="1:19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30"/>
      <c r="R18" s="15"/>
      <c r="S18" s="16"/>
    </row>
    <row r="19" spans="1:19">
      <c r="A19" s="40" t="s">
        <v>41</v>
      </c>
      <c r="B19" s="41"/>
      <c r="C19" s="37"/>
      <c r="D19" s="42">
        <v>83.08</v>
      </c>
      <c r="E19" s="43">
        <f t="shared" ref="E19:P19" si="3">E10+E17</f>
        <v>39.674050000000001</v>
      </c>
      <c r="F19" s="43">
        <f t="shared" si="3"/>
        <v>40.481200000000001</v>
      </c>
      <c r="G19" s="43">
        <f t="shared" si="3"/>
        <v>182.91174999999998</v>
      </c>
      <c r="H19" s="43">
        <f t="shared" si="3"/>
        <v>1210.5540000000001</v>
      </c>
      <c r="I19" s="43">
        <f t="shared" si="3"/>
        <v>0.60291499999999998</v>
      </c>
      <c r="J19" s="43">
        <f t="shared" si="3"/>
        <v>14.26</v>
      </c>
      <c r="K19" s="43">
        <f t="shared" si="3"/>
        <v>62.44</v>
      </c>
      <c r="L19" s="43">
        <f t="shared" si="3"/>
        <v>5.2091500000000011</v>
      </c>
      <c r="M19" s="43">
        <f t="shared" si="3"/>
        <v>473.70000000000005</v>
      </c>
      <c r="N19" s="43">
        <f t="shared" si="3"/>
        <v>775.08249999999998</v>
      </c>
      <c r="O19" s="43">
        <f t="shared" si="3"/>
        <v>178.661</v>
      </c>
      <c r="P19" s="43">
        <f t="shared" si="3"/>
        <v>6.0291499999999987</v>
      </c>
      <c r="Q19" s="30"/>
      <c r="R19" s="15"/>
      <c r="S19" s="16"/>
    </row>
    <row r="21" spans="1:19">
      <c r="B21" t="s">
        <v>42</v>
      </c>
    </row>
  </sheetData>
  <mergeCells count="14">
    <mergeCell ref="A10:B10"/>
    <mergeCell ref="A11:P11"/>
    <mergeCell ref="A17:B17"/>
    <mergeCell ref="A18:P18"/>
    <mergeCell ref="A19:B19"/>
    <mergeCell ref="C2:H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workbookViewId="0">
      <selection activeCell="P7" sqref="P7"/>
    </sheetView>
  </sheetViews>
  <sheetFormatPr defaultRowHeight="15"/>
  <cols>
    <col min="1" max="1" width="9.85546875" customWidth="1"/>
    <col min="2" max="2" width="27.7109375" customWidth="1"/>
    <col min="3" max="4" width="7" customWidth="1"/>
    <col min="5" max="5" width="6.42578125" customWidth="1"/>
    <col min="6" max="6" width="5.85546875" customWidth="1"/>
    <col min="7" max="7" width="8.140625" customWidth="1"/>
    <col min="8" max="8" width="9.42578125" customWidth="1"/>
    <col min="9" max="10" width="5.7109375" customWidth="1"/>
    <col min="11" max="11" width="5.85546875" customWidth="1"/>
    <col min="12" max="12" width="6" customWidth="1"/>
    <col min="13" max="13" width="6.42578125" customWidth="1"/>
    <col min="14" max="14" width="8" customWidth="1"/>
    <col min="15" max="15" width="7" customWidth="1"/>
    <col min="16" max="16" width="6.42578125" customWidth="1"/>
  </cols>
  <sheetData>
    <row r="1" spans="1:23" ht="42.75" customHeight="1">
      <c r="A1" s="1" t="s">
        <v>0</v>
      </c>
      <c r="B1" s="2"/>
      <c r="C1" s="2"/>
      <c r="D1" s="2"/>
      <c r="E1" s="1" t="s">
        <v>43</v>
      </c>
      <c r="G1" s="2"/>
      <c r="H1" s="2"/>
      <c r="K1" s="2"/>
      <c r="M1" s="3"/>
      <c r="O1" s="3"/>
      <c r="P1" s="4"/>
      <c r="Q1" s="4"/>
      <c r="R1" s="4"/>
      <c r="S1" s="2"/>
      <c r="T1" s="3"/>
      <c r="U1" s="3"/>
      <c r="V1" s="3"/>
      <c r="W1" s="3"/>
    </row>
    <row r="2" spans="1:23" ht="15.75">
      <c r="A2" s="5" t="s">
        <v>44</v>
      </c>
      <c r="B2" s="5"/>
      <c r="C2" s="57"/>
      <c r="D2" s="57"/>
      <c r="E2" s="6" t="s">
        <v>3</v>
      </c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23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5"/>
      <c r="T3" s="16"/>
    </row>
    <row r="4" spans="1:23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5"/>
      <c r="T4" s="16"/>
    </row>
    <row r="5" spans="1:23">
      <c r="A5" s="21"/>
      <c r="B5" s="22"/>
      <c r="C5" s="22"/>
      <c r="D5" s="22"/>
      <c r="E5" s="22"/>
      <c r="F5" s="22"/>
      <c r="G5" s="23" t="s">
        <v>45</v>
      </c>
      <c r="H5" s="22"/>
      <c r="I5" s="22"/>
      <c r="J5" s="22"/>
      <c r="K5" s="22"/>
      <c r="L5" s="22"/>
      <c r="M5" s="22"/>
      <c r="N5" s="22"/>
      <c r="O5" s="22"/>
      <c r="P5" s="24"/>
      <c r="Q5" s="15"/>
      <c r="R5" s="15"/>
      <c r="S5" s="15"/>
      <c r="T5" s="16"/>
    </row>
    <row r="6" spans="1:23">
      <c r="A6" s="58" t="s">
        <v>33</v>
      </c>
      <c r="B6" s="59" t="s">
        <v>34</v>
      </c>
      <c r="C6" s="58">
        <v>200</v>
      </c>
      <c r="D6" s="58">
        <v>8.84</v>
      </c>
      <c r="E6" s="60">
        <v>2.8</v>
      </c>
      <c r="F6" s="60">
        <v>8.6999999999999993</v>
      </c>
      <c r="G6" s="60">
        <v>13.9</v>
      </c>
      <c r="H6" s="60">
        <f t="shared" ref="H6" si="0">G6*4+F6*9+E6*4</f>
        <v>145.1</v>
      </c>
      <c r="I6" s="58">
        <v>0.05</v>
      </c>
      <c r="J6" s="60">
        <v>10.8</v>
      </c>
      <c r="K6" s="61">
        <v>0</v>
      </c>
      <c r="L6" s="60">
        <v>0.8</v>
      </c>
      <c r="M6" s="60">
        <v>58</v>
      </c>
      <c r="N6" s="60">
        <v>200</v>
      </c>
      <c r="O6" s="60">
        <v>30</v>
      </c>
      <c r="P6" s="60">
        <v>1.3</v>
      </c>
      <c r="Q6" s="30"/>
      <c r="R6" s="30"/>
      <c r="S6" s="15"/>
      <c r="T6" s="16"/>
    </row>
    <row r="7" spans="1:23">
      <c r="A7" s="37"/>
      <c r="B7" s="36" t="s">
        <v>46</v>
      </c>
      <c r="C7" s="37">
        <v>190</v>
      </c>
      <c r="D7" s="38">
        <v>15.39</v>
      </c>
      <c r="E7" s="38">
        <f>C7*0.1/100</f>
        <v>0.19</v>
      </c>
      <c r="F7" s="38">
        <f>C7*1.9/100</f>
        <v>3.61</v>
      </c>
      <c r="G7" s="38">
        <f t="shared" ref="G7" si="1">F7*4+E7*9+D7*4</f>
        <v>77.710000000000008</v>
      </c>
      <c r="H7" s="37">
        <f>C7*0.03/100</f>
        <v>5.7000000000000002E-2</v>
      </c>
      <c r="I7" s="38">
        <f>C7*7/100</f>
        <v>13.3</v>
      </c>
      <c r="J7" s="39">
        <v>0</v>
      </c>
      <c r="K7" s="38">
        <v>0.1</v>
      </c>
      <c r="L7" s="38">
        <f>C7*17/100</f>
        <v>32.299999999999997</v>
      </c>
      <c r="M7" s="38">
        <f>C7*30/100</f>
        <v>57</v>
      </c>
      <c r="N7" s="38">
        <f>C7*14/100</f>
        <v>26.6</v>
      </c>
      <c r="O7" s="38">
        <f>C7*0.5/100</f>
        <v>0.95</v>
      </c>
      <c r="P7" s="73"/>
      <c r="Q7" s="30"/>
      <c r="R7" s="15"/>
      <c r="S7" s="16"/>
    </row>
    <row r="8" spans="1:23" ht="25.5">
      <c r="A8" s="62" t="s">
        <v>35</v>
      </c>
      <c r="B8" s="63" t="s">
        <v>36</v>
      </c>
      <c r="C8" s="62">
        <v>230</v>
      </c>
      <c r="D8" s="62">
        <v>35.020000000000003</v>
      </c>
      <c r="E8" s="37">
        <v>18.399999999999999</v>
      </c>
      <c r="F8" s="37">
        <v>18.399999999999999</v>
      </c>
      <c r="G8" s="64">
        <v>38.94</v>
      </c>
      <c r="H8" s="37">
        <v>359.1</v>
      </c>
      <c r="I8" s="37">
        <v>0.14000000000000001</v>
      </c>
      <c r="J8" s="37">
        <v>5.75</v>
      </c>
      <c r="K8" s="37">
        <v>61.14</v>
      </c>
      <c r="L8" s="37">
        <v>0.91</v>
      </c>
      <c r="M8" s="37">
        <v>73.67</v>
      </c>
      <c r="N8" s="37">
        <v>215.5</v>
      </c>
      <c r="O8" s="37">
        <v>57.16</v>
      </c>
      <c r="P8" s="37">
        <v>2.44</v>
      </c>
      <c r="Q8" s="30"/>
      <c r="R8" s="30"/>
      <c r="S8" s="15"/>
      <c r="T8" s="16"/>
    </row>
    <row r="9" spans="1:23">
      <c r="A9" s="31"/>
      <c r="B9" s="32" t="s">
        <v>28</v>
      </c>
      <c r="C9" s="31">
        <v>50</v>
      </c>
      <c r="D9" s="31">
        <v>2.6</v>
      </c>
      <c r="E9" s="31">
        <f>C9*7.7/100</f>
        <v>3.85</v>
      </c>
      <c r="F9" s="33">
        <f>C9*0.8/100</f>
        <v>0.4</v>
      </c>
      <c r="G9" s="31">
        <f>C9*49.5/100</f>
        <v>24.75</v>
      </c>
      <c r="H9" s="33">
        <f t="shared" ref="H9" si="2">G9*4+F9*9+E9*4</f>
        <v>118</v>
      </c>
      <c r="I9" s="33">
        <f>C9*0.11/100</f>
        <v>5.5E-2</v>
      </c>
      <c r="J9" s="34">
        <v>0</v>
      </c>
      <c r="K9" s="34">
        <v>0</v>
      </c>
      <c r="L9" s="31">
        <f>C9*1.1/100</f>
        <v>0.55000000000000004</v>
      </c>
      <c r="M9" s="33">
        <f>C9*20/100</f>
        <v>10</v>
      </c>
      <c r="N9" s="33">
        <f>C9*65/100</f>
        <v>32.5</v>
      </c>
      <c r="O9" s="33">
        <f>C9*49/100</f>
        <v>24.5</v>
      </c>
      <c r="P9" s="31">
        <f>C9*1.1/100</f>
        <v>0.55000000000000004</v>
      </c>
      <c r="Q9" s="30"/>
      <c r="R9" s="30"/>
      <c r="S9" s="15"/>
      <c r="T9" s="16"/>
    </row>
    <row r="10" spans="1:23">
      <c r="A10" s="37"/>
      <c r="B10" s="36" t="s">
        <v>37</v>
      </c>
      <c r="C10" s="37">
        <v>50</v>
      </c>
      <c r="D10" s="37">
        <v>2.65</v>
      </c>
      <c r="E10" s="37">
        <f>D10*7.7/100</f>
        <v>0.20405000000000001</v>
      </c>
      <c r="F10" s="38">
        <f>D10*0.8/100</f>
        <v>2.12E-2</v>
      </c>
      <c r="G10" s="37">
        <f>D10*49.5/100</f>
        <v>1.3117499999999997</v>
      </c>
      <c r="H10" s="38">
        <f>G10*4+F10*9+E10*4</f>
        <v>6.2539999999999996</v>
      </c>
      <c r="I10" s="38">
        <f>D10*0.11/100</f>
        <v>2.9149999999999996E-3</v>
      </c>
      <c r="J10" s="39">
        <v>0</v>
      </c>
      <c r="K10" s="39">
        <v>0</v>
      </c>
      <c r="L10" s="37">
        <f>D10*1.1/100</f>
        <v>2.9149999999999999E-2</v>
      </c>
      <c r="M10" s="38">
        <f>D10*20/100</f>
        <v>0.53</v>
      </c>
      <c r="N10" s="38">
        <f>D10*65/100</f>
        <v>1.7224999999999999</v>
      </c>
      <c r="O10" s="38">
        <f>D10*14/100</f>
        <v>0.371</v>
      </c>
      <c r="P10" s="37">
        <f>D10*1.1/100</f>
        <v>2.9149999999999999E-2</v>
      </c>
      <c r="Q10" s="30"/>
      <c r="R10" s="30"/>
      <c r="S10" s="15"/>
      <c r="T10" s="16"/>
    </row>
    <row r="11" spans="1:23" ht="25.5">
      <c r="A11" s="37" t="s">
        <v>38</v>
      </c>
      <c r="B11" s="53" t="s">
        <v>47</v>
      </c>
      <c r="C11" s="37">
        <v>200</v>
      </c>
      <c r="D11" s="37">
        <v>2.5</v>
      </c>
      <c r="E11" s="39">
        <v>0</v>
      </c>
      <c r="F11" s="39">
        <v>0</v>
      </c>
      <c r="G11" s="38">
        <v>38.4</v>
      </c>
      <c r="H11" s="38">
        <f>G11*4+F11*9+E11*4</f>
        <v>153.6</v>
      </c>
      <c r="I11" s="39">
        <v>0</v>
      </c>
      <c r="J11" s="39">
        <v>0</v>
      </c>
      <c r="K11" s="39">
        <v>0</v>
      </c>
      <c r="L11" s="39">
        <v>0</v>
      </c>
      <c r="M11" s="38">
        <f>C11*4.65/100</f>
        <v>9.3000000000000007</v>
      </c>
      <c r="N11" s="38">
        <f>C11*4.42/100</f>
        <v>8.84</v>
      </c>
      <c r="O11" s="39">
        <v>0</v>
      </c>
      <c r="P11" s="37">
        <f>C11*0.03/100</f>
        <v>0.06</v>
      </c>
      <c r="Q11" s="30"/>
      <c r="R11" s="30"/>
      <c r="S11" s="15"/>
      <c r="T11" s="16"/>
    </row>
    <row r="12" spans="1:23">
      <c r="A12" s="40" t="s">
        <v>48</v>
      </c>
      <c r="B12" s="41"/>
      <c r="C12" s="42"/>
      <c r="D12" s="43">
        <f t="shared" ref="D12:P12" si="3">SUM(D6:D11)</f>
        <v>67</v>
      </c>
      <c r="E12" s="42">
        <f t="shared" si="3"/>
        <v>25.444049999999997</v>
      </c>
      <c r="F12" s="42">
        <f t="shared" si="3"/>
        <v>31.131199999999996</v>
      </c>
      <c r="G12" s="43">
        <f t="shared" si="3"/>
        <v>195.01175000000001</v>
      </c>
      <c r="H12" s="42">
        <f t="shared" si="3"/>
        <v>782.1110000000001</v>
      </c>
      <c r="I12" s="43">
        <f t="shared" si="3"/>
        <v>13.547915000000001</v>
      </c>
      <c r="J12" s="43">
        <f t="shared" si="3"/>
        <v>16.55</v>
      </c>
      <c r="K12" s="43">
        <f t="shared" si="3"/>
        <v>61.24</v>
      </c>
      <c r="L12" s="42">
        <f t="shared" si="3"/>
        <v>34.589149999999989</v>
      </c>
      <c r="M12" s="42">
        <f t="shared" si="3"/>
        <v>208.50000000000003</v>
      </c>
      <c r="N12" s="43">
        <f t="shared" si="3"/>
        <v>485.16250000000002</v>
      </c>
      <c r="O12" s="43">
        <f t="shared" si="3"/>
        <v>112.98099999999999</v>
      </c>
      <c r="P12" s="43">
        <f t="shared" si="3"/>
        <v>4.3791499999999992</v>
      </c>
      <c r="Q12" s="30"/>
      <c r="R12" s="30"/>
      <c r="S12" s="15" t="s">
        <v>31</v>
      </c>
      <c r="T12" s="16"/>
    </row>
    <row r="13" spans="1:23">
      <c r="A13" s="40" t="s">
        <v>49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41"/>
      <c r="Q13" s="30"/>
      <c r="R13" s="30"/>
      <c r="S13" s="15"/>
      <c r="T13" s="16"/>
    </row>
    <row r="14" spans="1:23">
      <c r="A14" s="58" t="s">
        <v>33</v>
      </c>
      <c r="B14" s="59" t="s">
        <v>34</v>
      </c>
      <c r="C14" s="58">
        <v>200</v>
      </c>
      <c r="D14" s="58">
        <v>11.49</v>
      </c>
      <c r="E14" s="60">
        <v>2.8</v>
      </c>
      <c r="F14" s="60">
        <v>8.6999999999999993</v>
      </c>
      <c r="G14" s="60">
        <v>13.9</v>
      </c>
      <c r="H14" s="60">
        <f t="shared" ref="H14" si="4">G14*4+F14*9+E14*4</f>
        <v>145.1</v>
      </c>
      <c r="I14" s="58">
        <v>0.05</v>
      </c>
      <c r="J14" s="60">
        <v>10.8</v>
      </c>
      <c r="K14" s="61">
        <v>0</v>
      </c>
      <c r="L14" s="60">
        <v>0.8</v>
      </c>
      <c r="M14" s="60">
        <v>58</v>
      </c>
      <c r="N14" s="60">
        <v>200</v>
      </c>
      <c r="O14" s="60">
        <v>30</v>
      </c>
      <c r="P14" s="60">
        <v>1.3</v>
      </c>
      <c r="Q14" s="30"/>
      <c r="R14" s="30"/>
      <c r="S14" s="15"/>
      <c r="T14" s="16"/>
    </row>
    <row r="15" spans="1:23" ht="25.5">
      <c r="A15" s="62" t="s">
        <v>35</v>
      </c>
      <c r="B15" s="63" t="s">
        <v>36</v>
      </c>
      <c r="C15" s="62">
        <v>230</v>
      </c>
      <c r="D15" s="62">
        <v>45.53</v>
      </c>
      <c r="E15" s="37">
        <v>18.399999999999999</v>
      </c>
      <c r="F15" s="37">
        <v>18.399999999999999</v>
      </c>
      <c r="G15" s="64">
        <v>38.94</v>
      </c>
      <c r="H15" s="37">
        <v>359.1</v>
      </c>
      <c r="I15" s="37">
        <v>0.14000000000000001</v>
      </c>
      <c r="J15" s="37">
        <v>5.75</v>
      </c>
      <c r="K15" s="37">
        <v>61.14</v>
      </c>
      <c r="L15" s="37">
        <v>0.91</v>
      </c>
      <c r="M15" s="37">
        <v>73.67</v>
      </c>
      <c r="N15" s="37">
        <v>215.5</v>
      </c>
      <c r="O15" s="37">
        <v>57.16</v>
      </c>
      <c r="P15" s="37">
        <v>2.44</v>
      </c>
      <c r="Q15" s="30"/>
      <c r="R15" s="30"/>
      <c r="S15" s="15"/>
      <c r="T15" s="16"/>
    </row>
    <row r="16" spans="1:23">
      <c r="A16" s="31"/>
      <c r="B16" s="32" t="s">
        <v>28</v>
      </c>
      <c r="C16" s="31">
        <v>50</v>
      </c>
      <c r="D16" s="31">
        <v>3.38</v>
      </c>
      <c r="E16" s="31">
        <f>C16*7.7/100</f>
        <v>3.85</v>
      </c>
      <c r="F16" s="33">
        <f>C16*0.8/100</f>
        <v>0.4</v>
      </c>
      <c r="G16" s="31">
        <f>C16*49.5/100</f>
        <v>24.75</v>
      </c>
      <c r="H16" s="33">
        <f t="shared" ref="H16" si="5">G16*4+F16*9+E16*4</f>
        <v>118</v>
      </c>
      <c r="I16" s="33">
        <f>C16*0.11/100</f>
        <v>5.5E-2</v>
      </c>
      <c r="J16" s="34">
        <v>0</v>
      </c>
      <c r="K16" s="34">
        <v>0</v>
      </c>
      <c r="L16" s="31">
        <f>C16*1.1/100</f>
        <v>0.55000000000000004</v>
      </c>
      <c r="M16" s="33">
        <f>C16*20/100</f>
        <v>10</v>
      </c>
      <c r="N16" s="33">
        <f>C16*65/100</f>
        <v>32.5</v>
      </c>
      <c r="O16" s="33">
        <f>C16*49/100</f>
        <v>24.5</v>
      </c>
      <c r="P16" s="31">
        <f>C16*1.1/100</f>
        <v>0.55000000000000004</v>
      </c>
      <c r="Q16" s="30"/>
      <c r="R16" s="30"/>
      <c r="S16" s="15"/>
      <c r="T16" s="16"/>
    </row>
    <row r="17" spans="1:20" ht="25.5">
      <c r="A17" s="37" t="s">
        <v>38</v>
      </c>
      <c r="B17" s="53" t="s">
        <v>47</v>
      </c>
      <c r="C17" s="37">
        <v>200</v>
      </c>
      <c r="D17" s="37">
        <v>3.25</v>
      </c>
      <c r="E17" s="39">
        <v>0</v>
      </c>
      <c r="F17" s="39">
        <v>0</v>
      </c>
      <c r="G17" s="38">
        <v>38.4</v>
      </c>
      <c r="H17" s="38">
        <f>G17*4+F17*9+E17*4</f>
        <v>153.6</v>
      </c>
      <c r="I17" s="39">
        <v>0</v>
      </c>
      <c r="J17" s="39">
        <v>0</v>
      </c>
      <c r="K17" s="39">
        <v>0</v>
      </c>
      <c r="L17" s="39">
        <v>0</v>
      </c>
      <c r="M17" s="38">
        <f>C17*4.65/100</f>
        <v>9.3000000000000007</v>
      </c>
      <c r="N17" s="38">
        <f>C17*4.42/100</f>
        <v>8.84</v>
      </c>
      <c r="O17" s="39">
        <v>0</v>
      </c>
      <c r="P17" s="37">
        <f>C17*0.03/100</f>
        <v>0.06</v>
      </c>
      <c r="Q17" s="30"/>
      <c r="R17" s="30"/>
      <c r="S17" s="15"/>
      <c r="T17" s="16"/>
    </row>
    <row r="18" spans="1:20">
      <c r="A18" s="40" t="s">
        <v>40</v>
      </c>
      <c r="B18" s="41"/>
      <c r="C18" s="42"/>
      <c r="D18" s="42">
        <f t="shared" ref="D18:P18" si="6">SUM(D14:D17)</f>
        <v>63.650000000000006</v>
      </c>
      <c r="E18" s="43">
        <f t="shared" si="6"/>
        <v>25.05</v>
      </c>
      <c r="F18" s="43">
        <f t="shared" si="6"/>
        <v>27.499999999999996</v>
      </c>
      <c r="G18" s="43">
        <f t="shared" si="6"/>
        <v>115.99000000000001</v>
      </c>
      <c r="H18" s="42">
        <f t="shared" si="6"/>
        <v>775.80000000000007</v>
      </c>
      <c r="I18" s="42">
        <f t="shared" si="6"/>
        <v>0.245</v>
      </c>
      <c r="J18" s="43">
        <f t="shared" si="6"/>
        <v>16.55</v>
      </c>
      <c r="K18" s="43">
        <f t="shared" si="6"/>
        <v>61.14</v>
      </c>
      <c r="L18" s="43">
        <f t="shared" si="6"/>
        <v>2.2599999999999998</v>
      </c>
      <c r="M18" s="43">
        <f t="shared" si="6"/>
        <v>150.97000000000003</v>
      </c>
      <c r="N18" s="43">
        <f t="shared" si="6"/>
        <v>456.84</v>
      </c>
      <c r="O18" s="43">
        <f t="shared" si="6"/>
        <v>111.66</v>
      </c>
      <c r="P18" s="43">
        <f t="shared" si="6"/>
        <v>4.3499999999999996</v>
      </c>
      <c r="Q18" s="30"/>
      <c r="R18" s="30"/>
      <c r="S18" s="15"/>
      <c r="T18" s="16"/>
    </row>
    <row r="19" spans="1:20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30"/>
      <c r="R19" s="30"/>
      <c r="S19" s="15"/>
      <c r="T19" s="16"/>
    </row>
    <row r="20" spans="1:20" s="16" customFormat="1">
      <c r="A20" s="69" t="s">
        <v>50</v>
      </c>
      <c r="B20" s="69"/>
      <c r="C20" s="70"/>
      <c r="D20" s="70"/>
      <c r="E20" s="71"/>
      <c r="F20" s="71"/>
      <c r="G20" s="71"/>
      <c r="H20" s="72"/>
      <c r="I20" s="71"/>
      <c r="J20" s="71"/>
      <c r="K20" s="71"/>
      <c r="L20" s="71"/>
      <c r="M20" s="72"/>
      <c r="N20" s="71"/>
      <c r="O20" s="72"/>
      <c r="P20" s="71"/>
      <c r="Q20" s="30"/>
      <c r="R20" s="30"/>
      <c r="S20" s="15"/>
    </row>
  </sheetData>
  <mergeCells count="14">
    <mergeCell ref="A12:B12"/>
    <mergeCell ref="A13:P13"/>
    <mergeCell ref="A18:B18"/>
    <mergeCell ref="A19:P19"/>
    <mergeCell ref="A20:B20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2022-09-29T11:13:09Z</dcterms:modified>
</cp:coreProperties>
</file>